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2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pivotTables/pivotTable4.xml" ContentType="application/vnd.openxmlformats-officedocument.spreadsheetml.pivotTable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5.xml" ContentType="application/vnd.openxmlformats-officedocument.spreadsheetml.pivotTable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6.xml" ContentType="application/vnd.openxmlformats-officedocument.spreadsheetml.pivotTable+xml"/>
  <Override PartName="/xl/drawings/drawing8.xml" ContentType="application/vnd.openxmlformats-officedocument.drawing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7.xml" ContentType="application/vnd.openxmlformats-officedocument.spreadsheetml.pivotTable+xml"/>
  <Override PartName="/xl/drawings/drawing9.xml" ContentType="application/vnd.openxmlformats-officedocument.drawing+xml"/>
  <Override PartName="/xl/charts/chart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8.xml" ContentType="application/vnd.openxmlformats-officedocument.spreadsheetml.pivotTable+xml"/>
  <Override PartName="/xl/drawings/drawing10.xml" ContentType="application/vnd.openxmlformats-officedocument.drawing+xml"/>
  <Override PartName="/xl/charts/chart9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0.xml" ContentType="application/vnd.openxmlformats-officedocument.drawingml.chart+xml"/>
  <Override PartName="/xl/pivotTables/pivotTable9.xml" ContentType="application/vnd.openxmlformats-officedocument.spreadsheetml.pivotTable+xml"/>
  <Override PartName="/xl/drawings/drawing12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stephabegg/Dropbox/BOOTCAMP/Module 1/Module 1 Assignment/excel-challenge/"/>
    </mc:Choice>
  </mc:AlternateContent>
  <xr:revisionPtr revIDLastSave="0" documentId="13_ncr:1_{AF66359E-D1B8-FE44-8A51-622024F092E6}" xr6:coauthVersionLast="47" xr6:coauthVersionMax="47" xr10:uidLastSave="{00000000-0000-0000-0000-000000000000}"/>
  <bookViews>
    <workbookView xWindow="1840" yWindow="2060" windowWidth="28400" windowHeight="16800" firstSheet="2" activeTab="6" xr2:uid="{00000000-000D-0000-FFFF-FFFF00000000}"/>
  </bookViews>
  <sheets>
    <sheet name="Crowdfunding raw" sheetId="1" r:id="rId1"/>
    <sheet name="Crowdfunding with calc columns" sheetId="2" r:id="rId2"/>
    <sheet name="Outcome per Category" sheetId="3" r:id="rId3"/>
    <sheet name="Outcome per Sub-Category" sheetId="5" r:id="rId4"/>
    <sheet name="Outcome by Launch Date" sheetId="11" r:id="rId5"/>
    <sheet name="Outcomes Based on Goal" sheetId="12" r:id="rId6"/>
    <sheet name="Backers Count" sheetId="13" r:id="rId7"/>
    <sheet name="Extra - Donation by Launch Date" sheetId="24" r:id="rId8"/>
    <sheet name="Extra - Campaign by Launch Date" sheetId="14" r:id="rId9"/>
    <sheet name="Extra - % Funded by Category" sheetId="15" r:id="rId10"/>
    <sheet name="Extra - Goal by Category" sheetId="25" r:id="rId11"/>
    <sheet name="Extra - Duration by Outcome" sheetId="19" r:id="rId12"/>
    <sheet name="Extra - % Funded by vs" sheetId="20" r:id="rId13"/>
    <sheet name="Extra - # Backers by Outcome" sheetId="22" r:id="rId14"/>
  </sheets>
  <definedNames>
    <definedName name="_xlchart.v1.0" hidden="1">'Backers Count'!$B$2:$B$566</definedName>
    <definedName name="_xlchart.v1.1" hidden="1">'Backers Count'!$E$2:$E$566</definedName>
  </definedNames>
  <calcPr calcId="191029"/>
  <pivotCaches>
    <pivotCache cacheId="25" r:id="rId1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" i="13" l="1"/>
  <c r="I9" i="13"/>
  <c r="I8" i="13"/>
  <c r="P1001" i="2"/>
  <c r="P1000" i="2"/>
  <c r="P999" i="2"/>
  <c r="P998" i="2"/>
  <c r="P997" i="2"/>
  <c r="P996" i="2"/>
  <c r="P995" i="2"/>
  <c r="P994" i="2"/>
  <c r="P993" i="2"/>
  <c r="P992" i="2"/>
  <c r="P991" i="2"/>
  <c r="P990" i="2"/>
  <c r="P989" i="2"/>
  <c r="P988" i="2"/>
  <c r="P987" i="2"/>
  <c r="P986" i="2"/>
  <c r="P985" i="2"/>
  <c r="P984" i="2"/>
  <c r="P983" i="2"/>
  <c r="P982" i="2"/>
  <c r="P981" i="2"/>
  <c r="P980" i="2"/>
  <c r="P979" i="2"/>
  <c r="P978" i="2"/>
  <c r="P977" i="2"/>
  <c r="P976" i="2"/>
  <c r="P975" i="2"/>
  <c r="P974" i="2"/>
  <c r="P973" i="2"/>
  <c r="P972" i="2"/>
  <c r="P971" i="2"/>
  <c r="P970" i="2"/>
  <c r="P969" i="2"/>
  <c r="P968" i="2"/>
  <c r="P967" i="2"/>
  <c r="P966" i="2"/>
  <c r="P965" i="2"/>
  <c r="P964" i="2"/>
  <c r="P963" i="2"/>
  <c r="P962" i="2"/>
  <c r="P961" i="2"/>
  <c r="P960" i="2"/>
  <c r="P959" i="2"/>
  <c r="P958" i="2"/>
  <c r="P957" i="2"/>
  <c r="P956" i="2"/>
  <c r="P955" i="2"/>
  <c r="P954" i="2"/>
  <c r="P953" i="2"/>
  <c r="P952" i="2"/>
  <c r="P951" i="2"/>
  <c r="P950" i="2"/>
  <c r="P949" i="2"/>
  <c r="P948" i="2"/>
  <c r="P947" i="2"/>
  <c r="P946" i="2"/>
  <c r="P945" i="2"/>
  <c r="P944" i="2"/>
  <c r="P943" i="2"/>
  <c r="P942" i="2"/>
  <c r="P941" i="2"/>
  <c r="P940" i="2"/>
  <c r="P939" i="2"/>
  <c r="P938" i="2"/>
  <c r="P937" i="2"/>
  <c r="P936" i="2"/>
  <c r="P935" i="2"/>
  <c r="P934" i="2"/>
  <c r="P933" i="2"/>
  <c r="P932" i="2"/>
  <c r="P931" i="2"/>
  <c r="P930" i="2"/>
  <c r="P929" i="2"/>
  <c r="P928" i="2"/>
  <c r="P927" i="2"/>
  <c r="P926" i="2"/>
  <c r="P925" i="2"/>
  <c r="P924" i="2"/>
  <c r="P923" i="2"/>
  <c r="P922" i="2"/>
  <c r="P921" i="2"/>
  <c r="P920" i="2"/>
  <c r="P919" i="2"/>
  <c r="P918" i="2"/>
  <c r="P917" i="2"/>
  <c r="P916" i="2"/>
  <c r="P915" i="2"/>
  <c r="P914" i="2"/>
  <c r="P913" i="2"/>
  <c r="P912" i="2"/>
  <c r="P911" i="2"/>
  <c r="P910" i="2"/>
  <c r="P909" i="2"/>
  <c r="P908" i="2"/>
  <c r="P907" i="2"/>
  <c r="P906" i="2"/>
  <c r="P905" i="2"/>
  <c r="P904" i="2"/>
  <c r="P903" i="2"/>
  <c r="P902" i="2"/>
  <c r="P901" i="2"/>
  <c r="P900" i="2"/>
  <c r="P899" i="2"/>
  <c r="P898" i="2"/>
  <c r="P897" i="2"/>
  <c r="P896" i="2"/>
  <c r="P895" i="2"/>
  <c r="P894" i="2"/>
  <c r="P893" i="2"/>
  <c r="P892" i="2"/>
  <c r="P891" i="2"/>
  <c r="P890" i="2"/>
  <c r="P889" i="2"/>
  <c r="P888" i="2"/>
  <c r="P887" i="2"/>
  <c r="P886" i="2"/>
  <c r="P885" i="2"/>
  <c r="P884" i="2"/>
  <c r="P883" i="2"/>
  <c r="P882" i="2"/>
  <c r="P881" i="2"/>
  <c r="P880" i="2"/>
  <c r="P879" i="2"/>
  <c r="P878" i="2"/>
  <c r="P877" i="2"/>
  <c r="P876" i="2"/>
  <c r="P875" i="2"/>
  <c r="P874" i="2"/>
  <c r="P873" i="2"/>
  <c r="P872" i="2"/>
  <c r="P871" i="2"/>
  <c r="P870" i="2"/>
  <c r="P869" i="2"/>
  <c r="P868" i="2"/>
  <c r="P867" i="2"/>
  <c r="P866" i="2"/>
  <c r="P865" i="2"/>
  <c r="P864" i="2"/>
  <c r="P863" i="2"/>
  <c r="P862" i="2"/>
  <c r="P861" i="2"/>
  <c r="P860" i="2"/>
  <c r="P859" i="2"/>
  <c r="P858" i="2"/>
  <c r="P857" i="2"/>
  <c r="P856" i="2"/>
  <c r="P855" i="2"/>
  <c r="P854" i="2"/>
  <c r="P853" i="2"/>
  <c r="P852" i="2"/>
  <c r="P851" i="2"/>
  <c r="P850" i="2"/>
  <c r="P849" i="2"/>
  <c r="P848" i="2"/>
  <c r="P847" i="2"/>
  <c r="P846" i="2"/>
  <c r="P845" i="2"/>
  <c r="P844" i="2"/>
  <c r="P843" i="2"/>
  <c r="P842" i="2"/>
  <c r="P841" i="2"/>
  <c r="P840" i="2"/>
  <c r="P839" i="2"/>
  <c r="P838" i="2"/>
  <c r="P837" i="2"/>
  <c r="P836" i="2"/>
  <c r="P835" i="2"/>
  <c r="P834" i="2"/>
  <c r="P833" i="2"/>
  <c r="P832" i="2"/>
  <c r="P831" i="2"/>
  <c r="P830" i="2"/>
  <c r="P829" i="2"/>
  <c r="P828" i="2"/>
  <c r="P827" i="2"/>
  <c r="P826" i="2"/>
  <c r="P825" i="2"/>
  <c r="P824" i="2"/>
  <c r="P823" i="2"/>
  <c r="P822" i="2"/>
  <c r="P821" i="2"/>
  <c r="P820" i="2"/>
  <c r="P819" i="2"/>
  <c r="P818" i="2"/>
  <c r="P817" i="2"/>
  <c r="P816" i="2"/>
  <c r="P815" i="2"/>
  <c r="P814" i="2"/>
  <c r="P813" i="2"/>
  <c r="P812" i="2"/>
  <c r="P811" i="2"/>
  <c r="P810" i="2"/>
  <c r="P809" i="2"/>
  <c r="P808" i="2"/>
  <c r="P807" i="2"/>
  <c r="P806" i="2"/>
  <c r="P805" i="2"/>
  <c r="P804" i="2"/>
  <c r="P803" i="2"/>
  <c r="P802" i="2"/>
  <c r="P801" i="2"/>
  <c r="P800" i="2"/>
  <c r="P799" i="2"/>
  <c r="P798" i="2"/>
  <c r="P797" i="2"/>
  <c r="P796" i="2"/>
  <c r="P795" i="2"/>
  <c r="P794" i="2"/>
  <c r="P793" i="2"/>
  <c r="P792" i="2"/>
  <c r="P791" i="2"/>
  <c r="P790" i="2"/>
  <c r="P789" i="2"/>
  <c r="P788" i="2"/>
  <c r="P787" i="2"/>
  <c r="P786" i="2"/>
  <c r="P785" i="2"/>
  <c r="P784" i="2"/>
  <c r="P783" i="2"/>
  <c r="P782" i="2"/>
  <c r="P781" i="2"/>
  <c r="P780" i="2"/>
  <c r="P779" i="2"/>
  <c r="P778" i="2"/>
  <c r="P777" i="2"/>
  <c r="P776" i="2"/>
  <c r="P775" i="2"/>
  <c r="P774" i="2"/>
  <c r="P773" i="2"/>
  <c r="P772" i="2"/>
  <c r="P771" i="2"/>
  <c r="P770" i="2"/>
  <c r="P769" i="2"/>
  <c r="P768" i="2"/>
  <c r="P767" i="2"/>
  <c r="P766" i="2"/>
  <c r="P765" i="2"/>
  <c r="P764" i="2"/>
  <c r="P763" i="2"/>
  <c r="P762" i="2"/>
  <c r="P761" i="2"/>
  <c r="P760" i="2"/>
  <c r="P759" i="2"/>
  <c r="P758" i="2"/>
  <c r="P757" i="2"/>
  <c r="P756" i="2"/>
  <c r="P755" i="2"/>
  <c r="P754" i="2"/>
  <c r="P753" i="2"/>
  <c r="P752" i="2"/>
  <c r="P751" i="2"/>
  <c r="P750" i="2"/>
  <c r="P749" i="2"/>
  <c r="P748" i="2"/>
  <c r="P747" i="2"/>
  <c r="P746" i="2"/>
  <c r="P745" i="2"/>
  <c r="P744" i="2"/>
  <c r="P743" i="2"/>
  <c r="P742" i="2"/>
  <c r="P741" i="2"/>
  <c r="P740" i="2"/>
  <c r="P739" i="2"/>
  <c r="P738" i="2"/>
  <c r="P737" i="2"/>
  <c r="P736" i="2"/>
  <c r="P735" i="2"/>
  <c r="P734" i="2"/>
  <c r="P733" i="2"/>
  <c r="P732" i="2"/>
  <c r="P731" i="2"/>
  <c r="P730" i="2"/>
  <c r="P729" i="2"/>
  <c r="P728" i="2"/>
  <c r="P727" i="2"/>
  <c r="P726" i="2"/>
  <c r="P725" i="2"/>
  <c r="P724" i="2"/>
  <c r="P723" i="2"/>
  <c r="P722" i="2"/>
  <c r="P721" i="2"/>
  <c r="P720" i="2"/>
  <c r="P719" i="2"/>
  <c r="P718" i="2"/>
  <c r="P717" i="2"/>
  <c r="P716" i="2"/>
  <c r="P715" i="2"/>
  <c r="P714" i="2"/>
  <c r="P713" i="2"/>
  <c r="P712" i="2"/>
  <c r="P711" i="2"/>
  <c r="P710" i="2"/>
  <c r="P709" i="2"/>
  <c r="P708" i="2"/>
  <c r="P707" i="2"/>
  <c r="P706" i="2"/>
  <c r="P705" i="2"/>
  <c r="P704" i="2"/>
  <c r="P703" i="2"/>
  <c r="P702" i="2"/>
  <c r="P701" i="2"/>
  <c r="P700" i="2"/>
  <c r="P699" i="2"/>
  <c r="P698" i="2"/>
  <c r="P697" i="2"/>
  <c r="P696" i="2"/>
  <c r="P695" i="2"/>
  <c r="P694" i="2"/>
  <c r="P693" i="2"/>
  <c r="P692" i="2"/>
  <c r="P691" i="2"/>
  <c r="P690" i="2"/>
  <c r="P689" i="2"/>
  <c r="P688" i="2"/>
  <c r="P687" i="2"/>
  <c r="P686" i="2"/>
  <c r="P685" i="2"/>
  <c r="P684" i="2"/>
  <c r="P683" i="2"/>
  <c r="P682" i="2"/>
  <c r="P681" i="2"/>
  <c r="P680" i="2"/>
  <c r="P679" i="2"/>
  <c r="P678" i="2"/>
  <c r="P677" i="2"/>
  <c r="P676" i="2"/>
  <c r="P675" i="2"/>
  <c r="P674" i="2"/>
  <c r="P673" i="2"/>
  <c r="P672" i="2"/>
  <c r="P671" i="2"/>
  <c r="P670" i="2"/>
  <c r="P669" i="2"/>
  <c r="P668" i="2"/>
  <c r="P667" i="2"/>
  <c r="P666" i="2"/>
  <c r="P665" i="2"/>
  <c r="P664" i="2"/>
  <c r="P663" i="2"/>
  <c r="P662" i="2"/>
  <c r="P661" i="2"/>
  <c r="P660" i="2"/>
  <c r="P659" i="2"/>
  <c r="P658" i="2"/>
  <c r="P657" i="2"/>
  <c r="P656" i="2"/>
  <c r="P655" i="2"/>
  <c r="P654" i="2"/>
  <c r="P653" i="2"/>
  <c r="P652" i="2"/>
  <c r="P651" i="2"/>
  <c r="P650" i="2"/>
  <c r="P649" i="2"/>
  <c r="P648" i="2"/>
  <c r="P647" i="2"/>
  <c r="P646" i="2"/>
  <c r="P645" i="2"/>
  <c r="P644" i="2"/>
  <c r="P643" i="2"/>
  <c r="P642" i="2"/>
  <c r="P641" i="2"/>
  <c r="P640" i="2"/>
  <c r="P639" i="2"/>
  <c r="P638" i="2"/>
  <c r="P637" i="2"/>
  <c r="P636" i="2"/>
  <c r="P635" i="2"/>
  <c r="P634" i="2"/>
  <c r="P633" i="2"/>
  <c r="P632" i="2"/>
  <c r="P631" i="2"/>
  <c r="P630" i="2"/>
  <c r="P629" i="2"/>
  <c r="P628" i="2"/>
  <c r="P627" i="2"/>
  <c r="P626" i="2"/>
  <c r="P625" i="2"/>
  <c r="P624" i="2"/>
  <c r="P623" i="2"/>
  <c r="P622" i="2"/>
  <c r="P621" i="2"/>
  <c r="P620" i="2"/>
  <c r="P619" i="2"/>
  <c r="P618" i="2"/>
  <c r="P617" i="2"/>
  <c r="P616" i="2"/>
  <c r="P615" i="2"/>
  <c r="P614" i="2"/>
  <c r="P613" i="2"/>
  <c r="P612" i="2"/>
  <c r="P611" i="2"/>
  <c r="P610" i="2"/>
  <c r="P609" i="2"/>
  <c r="P608" i="2"/>
  <c r="P607" i="2"/>
  <c r="P606" i="2"/>
  <c r="P605" i="2"/>
  <c r="P604" i="2"/>
  <c r="P603" i="2"/>
  <c r="P602" i="2"/>
  <c r="P601" i="2"/>
  <c r="P600" i="2"/>
  <c r="P599" i="2"/>
  <c r="P598" i="2"/>
  <c r="P597" i="2"/>
  <c r="P596" i="2"/>
  <c r="P595" i="2"/>
  <c r="P594" i="2"/>
  <c r="P593" i="2"/>
  <c r="P592" i="2"/>
  <c r="P591" i="2"/>
  <c r="P590" i="2"/>
  <c r="P589" i="2"/>
  <c r="P588" i="2"/>
  <c r="P587" i="2"/>
  <c r="P586" i="2"/>
  <c r="P585" i="2"/>
  <c r="P584" i="2"/>
  <c r="P583" i="2"/>
  <c r="P582" i="2"/>
  <c r="P581" i="2"/>
  <c r="P580" i="2"/>
  <c r="P579" i="2"/>
  <c r="P578" i="2"/>
  <c r="P577" i="2"/>
  <c r="P576" i="2"/>
  <c r="P575" i="2"/>
  <c r="P574" i="2"/>
  <c r="P573" i="2"/>
  <c r="P572" i="2"/>
  <c r="P571" i="2"/>
  <c r="P570" i="2"/>
  <c r="P569" i="2"/>
  <c r="P568" i="2"/>
  <c r="P567" i="2"/>
  <c r="P566" i="2"/>
  <c r="P565" i="2"/>
  <c r="P564" i="2"/>
  <c r="P563" i="2"/>
  <c r="P562" i="2"/>
  <c r="P561" i="2"/>
  <c r="P560" i="2"/>
  <c r="P559" i="2"/>
  <c r="P558" i="2"/>
  <c r="P557" i="2"/>
  <c r="P556" i="2"/>
  <c r="P555" i="2"/>
  <c r="P554" i="2"/>
  <c r="P553" i="2"/>
  <c r="P552" i="2"/>
  <c r="P551" i="2"/>
  <c r="P550" i="2"/>
  <c r="P549" i="2"/>
  <c r="P548" i="2"/>
  <c r="P547" i="2"/>
  <c r="P546" i="2"/>
  <c r="P545" i="2"/>
  <c r="P544" i="2"/>
  <c r="P543" i="2"/>
  <c r="P542" i="2"/>
  <c r="P541" i="2"/>
  <c r="P540" i="2"/>
  <c r="P539" i="2"/>
  <c r="P538" i="2"/>
  <c r="P537" i="2"/>
  <c r="P536" i="2"/>
  <c r="P535" i="2"/>
  <c r="P534" i="2"/>
  <c r="P533" i="2"/>
  <c r="P532" i="2"/>
  <c r="P531" i="2"/>
  <c r="P530" i="2"/>
  <c r="P529" i="2"/>
  <c r="P528" i="2"/>
  <c r="P527" i="2"/>
  <c r="P526" i="2"/>
  <c r="P525" i="2"/>
  <c r="P524" i="2"/>
  <c r="P523" i="2"/>
  <c r="P522" i="2"/>
  <c r="P521" i="2"/>
  <c r="P520" i="2"/>
  <c r="P519" i="2"/>
  <c r="P518" i="2"/>
  <c r="P517" i="2"/>
  <c r="P516" i="2"/>
  <c r="P515" i="2"/>
  <c r="P514" i="2"/>
  <c r="P513" i="2"/>
  <c r="P512" i="2"/>
  <c r="P511" i="2"/>
  <c r="P510" i="2"/>
  <c r="P509" i="2"/>
  <c r="P508" i="2"/>
  <c r="P507" i="2"/>
  <c r="P506" i="2"/>
  <c r="P505" i="2"/>
  <c r="P504" i="2"/>
  <c r="P503" i="2"/>
  <c r="P502" i="2"/>
  <c r="P501" i="2"/>
  <c r="P500" i="2"/>
  <c r="P499" i="2"/>
  <c r="P498" i="2"/>
  <c r="P497" i="2"/>
  <c r="P496" i="2"/>
  <c r="P495" i="2"/>
  <c r="P494" i="2"/>
  <c r="P493" i="2"/>
  <c r="P492" i="2"/>
  <c r="P491" i="2"/>
  <c r="P490" i="2"/>
  <c r="P489" i="2"/>
  <c r="P488" i="2"/>
  <c r="P487" i="2"/>
  <c r="P486" i="2"/>
  <c r="P485" i="2"/>
  <c r="P484" i="2"/>
  <c r="P483" i="2"/>
  <c r="P482" i="2"/>
  <c r="P481" i="2"/>
  <c r="P480" i="2"/>
  <c r="P479" i="2"/>
  <c r="P478" i="2"/>
  <c r="P477" i="2"/>
  <c r="P476" i="2"/>
  <c r="P475" i="2"/>
  <c r="P474" i="2"/>
  <c r="P473" i="2"/>
  <c r="P472" i="2"/>
  <c r="P471" i="2"/>
  <c r="P470" i="2"/>
  <c r="P469" i="2"/>
  <c r="P468" i="2"/>
  <c r="P467" i="2"/>
  <c r="P466" i="2"/>
  <c r="P465" i="2"/>
  <c r="P464" i="2"/>
  <c r="P463" i="2"/>
  <c r="P462" i="2"/>
  <c r="P461" i="2"/>
  <c r="P460" i="2"/>
  <c r="P459" i="2"/>
  <c r="P458" i="2"/>
  <c r="P457" i="2"/>
  <c r="P456" i="2"/>
  <c r="P455" i="2"/>
  <c r="P454" i="2"/>
  <c r="P453" i="2"/>
  <c r="P452" i="2"/>
  <c r="P451" i="2"/>
  <c r="P450" i="2"/>
  <c r="P449" i="2"/>
  <c r="P448" i="2"/>
  <c r="P447" i="2"/>
  <c r="P446" i="2"/>
  <c r="P445" i="2"/>
  <c r="P444" i="2"/>
  <c r="P443" i="2"/>
  <c r="P442" i="2"/>
  <c r="P441" i="2"/>
  <c r="P440" i="2"/>
  <c r="P439" i="2"/>
  <c r="P438" i="2"/>
  <c r="P437" i="2"/>
  <c r="P436" i="2"/>
  <c r="P435" i="2"/>
  <c r="P434" i="2"/>
  <c r="P433" i="2"/>
  <c r="P432" i="2"/>
  <c r="P431" i="2"/>
  <c r="P430" i="2"/>
  <c r="P429" i="2"/>
  <c r="P428" i="2"/>
  <c r="P427" i="2"/>
  <c r="P426" i="2"/>
  <c r="P425" i="2"/>
  <c r="P424" i="2"/>
  <c r="P423" i="2"/>
  <c r="P422" i="2"/>
  <c r="P421" i="2"/>
  <c r="P420" i="2"/>
  <c r="P419" i="2"/>
  <c r="P418" i="2"/>
  <c r="P417" i="2"/>
  <c r="P416" i="2"/>
  <c r="P415" i="2"/>
  <c r="P414" i="2"/>
  <c r="P413" i="2"/>
  <c r="P412" i="2"/>
  <c r="P411" i="2"/>
  <c r="P410" i="2"/>
  <c r="P409" i="2"/>
  <c r="P408" i="2"/>
  <c r="P407" i="2"/>
  <c r="P406" i="2"/>
  <c r="P405" i="2"/>
  <c r="P404" i="2"/>
  <c r="P403" i="2"/>
  <c r="P402" i="2"/>
  <c r="P401" i="2"/>
  <c r="P400" i="2"/>
  <c r="P399" i="2"/>
  <c r="P398" i="2"/>
  <c r="P397" i="2"/>
  <c r="P396" i="2"/>
  <c r="P395" i="2"/>
  <c r="P394" i="2"/>
  <c r="P393" i="2"/>
  <c r="P392" i="2"/>
  <c r="P391" i="2"/>
  <c r="P390" i="2"/>
  <c r="P389" i="2"/>
  <c r="P388" i="2"/>
  <c r="P387" i="2"/>
  <c r="P386" i="2"/>
  <c r="P385" i="2"/>
  <c r="P384" i="2"/>
  <c r="P383" i="2"/>
  <c r="P382" i="2"/>
  <c r="P381" i="2"/>
  <c r="P380" i="2"/>
  <c r="P379" i="2"/>
  <c r="P378" i="2"/>
  <c r="P377" i="2"/>
  <c r="P376" i="2"/>
  <c r="P375" i="2"/>
  <c r="P374" i="2"/>
  <c r="P373" i="2"/>
  <c r="P372" i="2"/>
  <c r="P371" i="2"/>
  <c r="P370" i="2"/>
  <c r="P369" i="2"/>
  <c r="P368" i="2"/>
  <c r="P367" i="2"/>
  <c r="P366" i="2"/>
  <c r="P365" i="2"/>
  <c r="P364" i="2"/>
  <c r="P363" i="2"/>
  <c r="P362" i="2"/>
  <c r="P361" i="2"/>
  <c r="P360" i="2"/>
  <c r="P359" i="2"/>
  <c r="P358" i="2"/>
  <c r="P357" i="2"/>
  <c r="P356" i="2"/>
  <c r="P355" i="2"/>
  <c r="P354" i="2"/>
  <c r="P353" i="2"/>
  <c r="P352" i="2"/>
  <c r="P351" i="2"/>
  <c r="P350" i="2"/>
  <c r="P349" i="2"/>
  <c r="P348" i="2"/>
  <c r="P347" i="2"/>
  <c r="P346" i="2"/>
  <c r="P345" i="2"/>
  <c r="P344" i="2"/>
  <c r="P343" i="2"/>
  <c r="P342" i="2"/>
  <c r="P341" i="2"/>
  <c r="P340" i="2"/>
  <c r="P339" i="2"/>
  <c r="P338" i="2"/>
  <c r="P337" i="2"/>
  <c r="P336" i="2"/>
  <c r="P335" i="2"/>
  <c r="P334" i="2"/>
  <c r="P333" i="2"/>
  <c r="P332" i="2"/>
  <c r="P331" i="2"/>
  <c r="P330" i="2"/>
  <c r="P329" i="2"/>
  <c r="P328" i="2"/>
  <c r="P327" i="2"/>
  <c r="P326" i="2"/>
  <c r="P325" i="2"/>
  <c r="P324" i="2"/>
  <c r="P323" i="2"/>
  <c r="P322" i="2"/>
  <c r="P321" i="2"/>
  <c r="P320" i="2"/>
  <c r="P319" i="2"/>
  <c r="P318" i="2"/>
  <c r="P317" i="2"/>
  <c r="P316" i="2"/>
  <c r="P315" i="2"/>
  <c r="P314" i="2"/>
  <c r="P313" i="2"/>
  <c r="P312" i="2"/>
  <c r="P311" i="2"/>
  <c r="P310" i="2"/>
  <c r="P309" i="2"/>
  <c r="P308" i="2"/>
  <c r="P307" i="2"/>
  <c r="P306" i="2"/>
  <c r="P305" i="2"/>
  <c r="P304" i="2"/>
  <c r="P303" i="2"/>
  <c r="P302" i="2"/>
  <c r="P301" i="2"/>
  <c r="P300" i="2"/>
  <c r="P299" i="2"/>
  <c r="P298" i="2"/>
  <c r="P297" i="2"/>
  <c r="P296" i="2"/>
  <c r="P295" i="2"/>
  <c r="P294" i="2"/>
  <c r="P293" i="2"/>
  <c r="P292" i="2"/>
  <c r="P291" i="2"/>
  <c r="P290" i="2"/>
  <c r="P289" i="2"/>
  <c r="P288" i="2"/>
  <c r="P287" i="2"/>
  <c r="P286" i="2"/>
  <c r="P285" i="2"/>
  <c r="P284" i="2"/>
  <c r="P283" i="2"/>
  <c r="P282" i="2"/>
  <c r="P281" i="2"/>
  <c r="P280" i="2"/>
  <c r="P279" i="2"/>
  <c r="P278" i="2"/>
  <c r="P277" i="2"/>
  <c r="P276" i="2"/>
  <c r="P275" i="2"/>
  <c r="P274" i="2"/>
  <c r="P273" i="2"/>
  <c r="P272" i="2"/>
  <c r="P271" i="2"/>
  <c r="P270" i="2"/>
  <c r="P269" i="2"/>
  <c r="P268" i="2"/>
  <c r="P267" i="2"/>
  <c r="P266" i="2"/>
  <c r="P265" i="2"/>
  <c r="P264" i="2"/>
  <c r="P263" i="2"/>
  <c r="P262" i="2"/>
  <c r="P261" i="2"/>
  <c r="P260" i="2"/>
  <c r="P259" i="2"/>
  <c r="P258" i="2"/>
  <c r="P257" i="2"/>
  <c r="P256" i="2"/>
  <c r="P255" i="2"/>
  <c r="P254" i="2"/>
  <c r="P253" i="2"/>
  <c r="P252" i="2"/>
  <c r="P251" i="2"/>
  <c r="P250" i="2"/>
  <c r="P249" i="2"/>
  <c r="P248" i="2"/>
  <c r="P247" i="2"/>
  <c r="P246" i="2"/>
  <c r="P245" i="2"/>
  <c r="P244" i="2"/>
  <c r="P243" i="2"/>
  <c r="P242" i="2"/>
  <c r="P241" i="2"/>
  <c r="P240" i="2"/>
  <c r="P239" i="2"/>
  <c r="P238" i="2"/>
  <c r="P237" i="2"/>
  <c r="P236" i="2"/>
  <c r="P235" i="2"/>
  <c r="P234" i="2"/>
  <c r="P233" i="2"/>
  <c r="P232" i="2"/>
  <c r="P231" i="2"/>
  <c r="P230" i="2"/>
  <c r="P229" i="2"/>
  <c r="P228" i="2"/>
  <c r="P227" i="2"/>
  <c r="P226" i="2"/>
  <c r="P225" i="2"/>
  <c r="P224" i="2"/>
  <c r="P223" i="2"/>
  <c r="P222" i="2"/>
  <c r="P221" i="2"/>
  <c r="P220" i="2"/>
  <c r="P219" i="2"/>
  <c r="P218" i="2"/>
  <c r="P217" i="2"/>
  <c r="P216" i="2"/>
  <c r="P215" i="2"/>
  <c r="P214" i="2"/>
  <c r="P213" i="2"/>
  <c r="P212" i="2"/>
  <c r="P211" i="2"/>
  <c r="P210" i="2"/>
  <c r="P209" i="2"/>
  <c r="P208" i="2"/>
  <c r="P207" i="2"/>
  <c r="P206" i="2"/>
  <c r="P205" i="2"/>
  <c r="P204" i="2"/>
  <c r="P203" i="2"/>
  <c r="P202" i="2"/>
  <c r="P201" i="2"/>
  <c r="P200" i="2"/>
  <c r="P199" i="2"/>
  <c r="P198" i="2"/>
  <c r="P197" i="2"/>
  <c r="P196" i="2"/>
  <c r="P195" i="2"/>
  <c r="P194" i="2"/>
  <c r="P193" i="2"/>
  <c r="P192" i="2"/>
  <c r="P191" i="2"/>
  <c r="P190" i="2"/>
  <c r="P189" i="2"/>
  <c r="P188" i="2"/>
  <c r="P187" i="2"/>
  <c r="P186" i="2"/>
  <c r="P185" i="2"/>
  <c r="P184" i="2"/>
  <c r="P183" i="2"/>
  <c r="P182" i="2"/>
  <c r="P181" i="2"/>
  <c r="P180" i="2"/>
  <c r="P179" i="2"/>
  <c r="P178" i="2"/>
  <c r="P177" i="2"/>
  <c r="P176" i="2"/>
  <c r="P175" i="2"/>
  <c r="P174" i="2"/>
  <c r="P173" i="2"/>
  <c r="P172" i="2"/>
  <c r="P171" i="2"/>
  <c r="P170" i="2"/>
  <c r="P169" i="2"/>
  <c r="P168" i="2"/>
  <c r="P167" i="2"/>
  <c r="P166" i="2"/>
  <c r="P165" i="2"/>
  <c r="P164" i="2"/>
  <c r="P163" i="2"/>
  <c r="P162" i="2"/>
  <c r="P161" i="2"/>
  <c r="P160" i="2"/>
  <c r="P159" i="2"/>
  <c r="P158" i="2"/>
  <c r="P157" i="2"/>
  <c r="P156" i="2"/>
  <c r="P155" i="2"/>
  <c r="P154" i="2"/>
  <c r="P153" i="2"/>
  <c r="P152" i="2"/>
  <c r="P151" i="2"/>
  <c r="P150" i="2"/>
  <c r="P149" i="2"/>
  <c r="P148" i="2"/>
  <c r="P147" i="2"/>
  <c r="P146" i="2"/>
  <c r="P145" i="2"/>
  <c r="P144" i="2"/>
  <c r="P143" i="2"/>
  <c r="P142" i="2"/>
  <c r="P141" i="2"/>
  <c r="P140" i="2"/>
  <c r="P139" i="2"/>
  <c r="P138" i="2"/>
  <c r="P137" i="2"/>
  <c r="P136" i="2"/>
  <c r="P135" i="2"/>
  <c r="P134" i="2"/>
  <c r="P133" i="2"/>
  <c r="P132" i="2"/>
  <c r="P131" i="2"/>
  <c r="P130" i="2"/>
  <c r="P129" i="2"/>
  <c r="P128" i="2"/>
  <c r="P127" i="2"/>
  <c r="P126" i="2"/>
  <c r="P125" i="2"/>
  <c r="P124" i="2"/>
  <c r="P123" i="2"/>
  <c r="P122" i="2"/>
  <c r="P121" i="2"/>
  <c r="P120" i="2"/>
  <c r="P119" i="2"/>
  <c r="P118" i="2"/>
  <c r="P117" i="2"/>
  <c r="P116" i="2"/>
  <c r="P115" i="2"/>
  <c r="P114" i="2"/>
  <c r="P113" i="2"/>
  <c r="P112" i="2"/>
  <c r="P111" i="2"/>
  <c r="P110" i="2"/>
  <c r="P109" i="2"/>
  <c r="P108" i="2"/>
  <c r="P107" i="2"/>
  <c r="P106" i="2"/>
  <c r="P105" i="2"/>
  <c r="P104" i="2"/>
  <c r="P103" i="2"/>
  <c r="P102" i="2"/>
  <c r="P101" i="2"/>
  <c r="P100" i="2"/>
  <c r="P99" i="2"/>
  <c r="P98" i="2"/>
  <c r="P97" i="2"/>
  <c r="P96" i="2"/>
  <c r="P95" i="2"/>
  <c r="P94" i="2"/>
  <c r="P93" i="2"/>
  <c r="P92" i="2"/>
  <c r="P91" i="2"/>
  <c r="P90" i="2"/>
  <c r="P89" i="2"/>
  <c r="P88" i="2"/>
  <c r="P87" i="2"/>
  <c r="P86" i="2"/>
  <c r="P85" i="2"/>
  <c r="P84" i="2"/>
  <c r="P83" i="2"/>
  <c r="P82" i="2"/>
  <c r="P81" i="2"/>
  <c r="P80" i="2"/>
  <c r="P79" i="2"/>
  <c r="P78" i="2"/>
  <c r="P77" i="2"/>
  <c r="P76" i="2"/>
  <c r="P75" i="2"/>
  <c r="P74" i="2"/>
  <c r="P73" i="2"/>
  <c r="P72" i="2"/>
  <c r="P71" i="2"/>
  <c r="P70" i="2"/>
  <c r="P69" i="2"/>
  <c r="P68" i="2"/>
  <c r="P67" i="2"/>
  <c r="P66" i="2"/>
  <c r="P65" i="2"/>
  <c r="P64" i="2"/>
  <c r="P63" i="2"/>
  <c r="P62" i="2"/>
  <c r="P61" i="2"/>
  <c r="P60" i="2"/>
  <c r="P59" i="2"/>
  <c r="P58" i="2"/>
  <c r="P57" i="2"/>
  <c r="P56" i="2"/>
  <c r="P55" i="2"/>
  <c r="P54" i="2"/>
  <c r="P53" i="2"/>
  <c r="P52" i="2"/>
  <c r="P51" i="2"/>
  <c r="P50" i="2"/>
  <c r="P49" i="2"/>
  <c r="P48" i="2"/>
  <c r="P47" i="2"/>
  <c r="P46" i="2"/>
  <c r="P45" i="2"/>
  <c r="P44" i="2"/>
  <c r="P43" i="2"/>
  <c r="P42" i="2"/>
  <c r="P41" i="2"/>
  <c r="P40" i="2"/>
  <c r="P39" i="2"/>
  <c r="P38" i="2"/>
  <c r="P37" i="2"/>
  <c r="P36" i="2"/>
  <c r="P35" i="2"/>
  <c r="P34" i="2"/>
  <c r="P33" i="2"/>
  <c r="P32" i="2"/>
  <c r="P31" i="2"/>
  <c r="P30" i="2"/>
  <c r="P29" i="2"/>
  <c r="P28" i="2"/>
  <c r="P27" i="2"/>
  <c r="P26" i="2"/>
  <c r="P25" i="2"/>
  <c r="P24" i="2"/>
  <c r="P23" i="2"/>
  <c r="P22" i="2"/>
  <c r="P21" i="2"/>
  <c r="P20" i="2"/>
  <c r="P19" i="2"/>
  <c r="P18" i="2"/>
  <c r="P17" i="2"/>
  <c r="P16" i="2"/>
  <c r="P15" i="2"/>
  <c r="P14" i="2"/>
  <c r="P13" i="2"/>
  <c r="P12" i="2"/>
  <c r="P11" i="2"/>
  <c r="P10" i="2"/>
  <c r="P9" i="2"/>
  <c r="P8" i="2"/>
  <c r="P7" i="2"/>
  <c r="P6" i="2"/>
  <c r="P5" i="2"/>
  <c r="P4" i="2"/>
  <c r="P3" i="2"/>
  <c r="P2" i="2"/>
  <c r="I3" i="2"/>
  <c r="J8" i="13"/>
  <c r="J7" i="13"/>
  <c r="J6" i="13"/>
  <c r="J5" i="13"/>
  <c r="J4" i="13"/>
  <c r="I7" i="13"/>
  <c r="I6" i="13"/>
  <c r="I5" i="13"/>
  <c r="I4" i="13"/>
  <c r="D13" i="12"/>
  <c r="D12" i="12"/>
  <c r="D11" i="12"/>
  <c r="D10" i="12"/>
  <c r="D9" i="12"/>
  <c r="D8" i="12"/>
  <c r="D7" i="12"/>
  <c r="D6" i="12"/>
  <c r="D5" i="12"/>
  <c r="D4" i="12"/>
  <c r="D3" i="12"/>
  <c r="D2" i="12"/>
  <c r="C13" i="12"/>
  <c r="C12" i="12"/>
  <c r="C11" i="12"/>
  <c r="C10" i="12"/>
  <c r="C9" i="12"/>
  <c r="C8" i="12"/>
  <c r="C7" i="12"/>
  <c r="C6" i="12"/>
  <c r="C5" i="12"/>
  <c r="C4" i="12"/>
  <c r="C3" i="12"/>
  <c r="C2" i="12"/>
  <c r="B12" i="12"/>
  <c r="B11" i="12"/>
  <c r="B10" i="12"/>
  <c r="B9" i="12"/>
  <c r="B8" i="12"/>
  <c r="B7" i="12"/>
  <c r="B6" i="12"/>
  <c r="B5" i="12"/>
  <c r="B13" i="12"/>
  <c r="E13" i="12" s="1"/>
  <c r="H13" i="12" s="1"/>
  <c r="B4" i="12"/>
  <c r="E4" i="12" s="1"/>
  <c r="G4" i="12" s="1"/>
  <c r="B3" i="12"/>
  <c r="B2" i="12"/>
  <c r="E10" i="12" l="1"/>
  <c r="H10" i="12" s="1"/>
  <c r="E7" i="12"/>
  <c r="G7" i="12" s="1"/>
  <c r="E5" i="12"/>
  <c r="G5" i="12" s="1"/>
  <c r="E3" i="12"/>
  <c r="H3" i="12" s="1"/>
  <c r="E8" i="12"/>
  <c r="H8" i="12" s="1"/>
  <c r="E11" i="12"/>
  <c r="G11" i="12" s="1"/>
  <c r="E12" i="12"/>
  <c r="F12" i="12" s="1"/>
  <c r="E9" i="12"/>
  <c r="G9" i="12" s="1"/>
  <c r="E6" i="12"/>
  <c r="G6" i="12" s="1"/>
  <c r="F11" i="12"/>
  <c r="E2" i="12"/>
  <c r="F2" i="12" s="1"/>
  <c r="F10" i="12"/>
  <c r="G10" i="12"/>
  <c r="H4" i="12"/>
  <c r="H5" i="12"/>
  <c r="F13" i="12"/>
  <c r="F4" i="12"/>
  <c r="G13" i="12"/>
  <c r="F7" i="12"/>
  <c r="H7" i="12" l="1"/>
  <c r="F5" i="12"/>
  <c r="G8" i="12"/>
  <c r="F3" i="12"/>
  <c r="G3" i="12"/>
  <c r="H11" i="12"/>
  <c r="H6" i="12"/>
  <c r="F8" i="12"/>
  <c r="F6" i="12"/>
  <c r="H9" i="12"/>
  <c r="F9" i="12"/>
  <c r="H12" i="12"/>
  <c r="G12" i="12"/>
  <c r="H2" i="12"/>
  <c r="G2" i="12"/>
  <c r="N2" i="2" l="1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N529" i="2"/>
  <c r="N530" i="2"/>
  <c r="N531" i="2"/>
  <c r="N532" i="2"/>
  <c r="N533" i="2"/>
  <c r="N534" i="2"/>
  <c r="N535" i="2"/>
  <c r="N536" i="2"/>
  <c r="N537" i="2"/>
  <c r="N538" i="2"/>
  <c r="N539" i="2"/>
  <c r="N540" i="2"/>
  <c r="N541" i="2"/>
  <c r="N542" i="2"/>
  <c r="N543" i="2"/>
  <c r="N544" i="2"/>
  <c r="N545" i="2"/>
  <c r="N546" i="2"/>
  <c r="N547" i="2"/>
  <c r="N548" i="2"/>
  <c r="N549" i="2"/>
  <c r="N550" i="2"/>
  <c r="N551" i="2"/>
  <c r="N552" i="2"/>
  <c r="N553" i="2"/>
  <c r="N554" i="2"/>
  <c r="N555" i="2"/>
  <c r="N556" i="2"/>
  <c r="N557" i="2"/>
  <c r="N558" i="2"/>
  <c r="N559" i="2"/>
  <c r="N560" i="2"/>
  <c r="N561" i="2"/>
  <c r="N562" i="2"/>
  <c r="N563" i="2"/>
  <c r="N564" i="2"/>
  <c r="N565" i="2"/>
  <c r="N566" i="2"/>
  <c r="N567" i="2"/>
  <c r="N568" i="2"/>
  <c r="N569" i="2"/>
  <c r="N570" i="2"/>
  <c r="N571" i="2"/>
  <c r="N572" i="2"/>
  <c r="N573" i="2"/>
  <c r="N574" i="2"/>
  <c r="N575" i="2"/>
  <c r="N576" i="2"/>
  <c r="N577" i="2"/>
  <c r="N578" i="2"/>
  <c r="N579" i="2"/>
  <c r="N580" i="2"/>
  <c r="N581" i="2"/>
  <c r="N582" i="2"/>
  <c r="N583" i="2"/>
  <c r="N584" i="2"/>
  <c r="N585" i="2"/>
  <c r="N586" i="2"/>
  <c r="N587" i="2"/>
  <c r="N588" i="2"/>
  <c r="N589" i="2"/>
  <c r="N590" i="2"/>
  <c r="N591" i="2"/>
  <c r="N592" i="2"/>
  <c r="N593" i="2"/>
  <c r="N594" i="2"/>
  <c r="N595" i="2"/>
  <c r="N596" i="2"/>
  <c r="N597" i="2"/>
  <c r="N598" i="2"/>
  <c r="N599" i="2"/>
  <c r="N600" i="2"/>
  <c r="N601" i="2"/>
  <c r="N602" i="2"/>
  <c r="N603" i="2"/>
  <c r="N604" i="2"/>
  <c r="N605" i="2"/>
  <c r="N606" i="2"/>
  <c r="N607" i="2"/>
  <c r="N608" i="2"/>
  <c r="N609" i="2"/>
  <c r="N610" i="2"/>
  <c r="N611" i="2"/>
  <c r="N612" i="2"/>
  <c r="N613" i="2"/>
  <c r="N614" i="2"/>
  <c r="N615" i="2"/>
  <c r="N616" i="2"/>
  <c r="N617" i="2"/>
  <c r="N618" i="2"/>
  <c r="N619" i="2"/>
  <c r="N620" i="2"/>
  <c r="N621" i="2"/>
  <c r="N622" i="2"/>
  <c r="N623" i="2"/>
  <c r="N624" i="2"/>
  <c r="N625" i="2"/>
  <c r="N626" i="2"/>
  <c r="N627" i="2"/>
  <c r="N628" i="2"/>
  <c r="N629" i="2"/>
  <c r="N630" i="2"/>
  <c r="N631" i="2"/>
  <c r="N632" i="2"/>
  <c r="N633" i="2"/>
  <c r="N634" i="2"/>
  <c r="N635" i="2"/>
  <c r="N636" i="2"/>
  <c r="N637" i="2"/>
  <c r="N638" i="2"/>
  <c r="N639" i="2"/>
  <c r="N640" i="2"/>
  <c r="N641" i="2"/>
  <c r="N642" i="2"/>
  <c r="N643" i="2"/>
  <c r="N644" i="2"/>
  <c r="N645" i="2"/>
  <c r="N646" i="2"/>
  <c r="N647" i="2"/>
  <c r="N648" i="2"/>
  <c r="N649" i="2"/>
  <c r="N650" i="2"/>
  <c r="N651" i="2"/>
  <c r="N652" i="2"/>
  <c r="N653" i="2"/>
  <c r="N654" i="2"/>
  <c r="N655" i="2"/>
  <c r="N656" i="2"/>
  <c r="N657" i="2"/>
  <c r="N658" i="2"/>
  <c r="N659" i="2"/>
  <c r="N660" i="2"/>
  <c r="N661" i="2"/>
  <c r="N662" i="2"/>
  <c r="N663" i="2"/>
  <c r="N664" i="2"/>
  <c r="N665" i="2"/>
  <c r="N666" i="2"/>
  <c r="N667" i="2"/>
  <c r="N668" i="2"/>
  <c r="N669" i="2"/>
  <c r="N670" i="2"/>
  <c r="N671" i="2"/>
  <c r="N672" i="2"/>
  <c r="N673" i="2"/>
  <c r="N674" i="2"/>
  <c r="N675" i="2"/>
  <c r="N676" i="2"/>
  <c r="N677" i="2"/>
  <c r="N678" i="2"/>
  <c r="N679" i="2"/>
  <c r="N680" i="2"/>
  <c r="N681" i="2"/>
  <c r="N682" i="2"/>
  <c r="N683" i="2"/>
  <c r="N684" i="2"/>
  <c r="N685" i="2"/>
  <c r="N686" i="2"/>
  <c r="N687" i="2"/>
  <c r="N688" i="2"/>
  <c r="N689" i="2"/>
  <c r="N690" i="2"/>
  <c r="N691" i="2"/>
  <c r="N692" i="2"/>
  <c r="N693" i="2"/>
  <c r="N694" i="2"/>
  <c r="N695" i="2"/>
  <c r="N696" i="2"/>
  <c r="N697" i="2"/>
  <c r="N698" i="2"/>
  <c r="N699" i="2"/>
  <c r="N700" i="2"/>
  <c r="N701" i="2"/>
  <c r="N702" i="2"/>
  <c r="N703" i="2"/>
  <c r="N704" i="2"/>
  <c r="N705" i="2"/>
  <c r="N706" i="2"/>
  <c r="N707" i="2"/>
  <c r="N708" i="2"/>
  <c r="N709" i="2"/>
  <c r="N710" i="2"/>
  <c r="N711" i="2"/>
  <c r="N712" i="2"/>
  <c r="N713" i="2"/>
  <c r="N714" i="2"/>
  <c r="N715" i="2"/>
  <c r="N716" i="2"/>
  <c r="N717" i="2"/>
  <c r="N718" i="2"/>
  <c r="N719" i="2"/>
  <c r="N720" i="2"/>
  <c r="N721" i="2"/>
  <c r="N722" i="2"/>
  <c r="N723" i="2"/>
  <c r="N724" i="2"/>
  <c r="N725" i="2"/>
  <c r="N726" i="2"/>
  <c r="N727" i="2"/>
  <c r="N728" i="2"/>
  <c r="N729" i="2"/>
  <c r="N730" i="2"/>
  <c r="N731" i="2"/>
  <c r="N732" i="2"/>
  <c r="N733" i="2"/>
  <c r="N734" i="2"/>
  <c r="N735" i="2"/>
  <c r="N736" i="2"/>
  <c r="N737" i="2"/>
  <c r="N738" i="2"/>
  <c r="N739" i="2"/>
  <c r="N740" i="2"/>
  <c r="N741" i="2"/>
  <c r="N742" i="2"/>
  <c r="N743" i="2"/>
  <c r="N744" i="2"/>
  <c r="N745" i="2"/>
  <c r="N746" i="2"/>
  <c r="N747" i="2"/>
  <c r="N748" i="2"/>
  <c r="N749" i="2"/>
  <c r="N750" i="2"/>
  <c r="N751" i="2"/>
  <c r="N752" i="2"/>
  <c r="N753" i="2"/>
  <c r="N754" i="2"/>
  <c r="N755" i="2"/>
  <c r="N756" i="2"/>
  <c r="N757" i="2"/>
  <c r="N758" i="2"/>
  <c r="N759" i="2"/>
  <c r="N760" i="2"/>
  <c r="N761" i="2"/>
  <c r="N762" i="2"/>
  <c r="N763" i="2"/>
  <c r="N764" i="2"/>
  <c r="N765" i="2"/>
  <c r="N766" i="2"/>
  <c r="N767" i="2"/>
  <c r="N768" i="2"/>
  <c r="N769" i="2"/>
  <c r="N770" i="2"/>
  <c r="N771" i="2"/>
  <c r="N772" i="2"/>
  <c r="N773" i="2"/>
  <c r="N774" i="2"/>
  <c r="N775" i="2"/>
  <c r="N776" i="2"/>
  <c r="N777" i="2"/>
  <c r="N778" i="2"/>
  <c r="N779" i="2"/>
  <c r="N780" i="2"/>
  <c r="N781" i="2"/>
  <c r="N782" i="2"/>
  <c r="N783" i="2"/>
  <c r="N784" i="2"/>
  <c r="N785" i="2"/>
  <c r="N786" i="2"/>
  <c r="N787" i="2"/>
  <c r="N788" i="2"/>
  <c r="N789" i="2"/>
  <c r="N790" i="2"/>
  <c r="N791" i="2"/>
  <c r="N792" i="2"/>
  <c r="N793" i="2"/>
  <c r="N794" i="2"/>
  <c r="N795" i="2"/>
  <c r="N796" i="2"/>
  <c r="N797" i="2"/>
  <c r="N798" i="2"/>
  <c r="N799" i="2"/>
  <c r="N800" i="2"/>
  <c r="N801" i="2"/>
  <c r="N802" i="2"/>
  <c r="N803" i="2"/>
  <c r="N804" i="2"/>
  <c r="N805" i="2"/>
  <c r="N806" i="2"/>
  <c r="N807" i="2"/>
  <c r="N808" i="2"/>
  <c r="N809" i="2"/>
  <c r="N810" i="2"/>
  <c r="N811" i="2"/>
  <c r="N812" i="2"/>
  <c r="N813" i="2"/>
  <c r="N814" i="2"/>
  <c r="N815" i="2"/>
  <c r="N816" i="2"/>
  <c r="N817" i="2"/>
  <c r="N818" i="2"/>
  <c r="N819" i="2"/>
  <c r="N820" i="2"/>
  <c r="N821" i="2"/>
  <c r="N822" i="2"/>
  <c r="N823" i="2"/>
  <c r="N824" i="2"/>
  <c r="N825" i="2"/>
  <c r="N826" i="2"/>
  <c r="N827" i="2"/>
  <c r="N828" i="2"/>
  <c r="N829" i="2"/>
  <c r="N830" i="2"/>
  <c r="N831" i="2"/>
  <c r="N832" i="2"/>
  <c r="N833" i="2"/>
  <c r="N834" i="2"/>
  <c r="N835" i="2"/>
  <c r="N836" i="2"/>
  <c r="N837" i="2"/>
  <c r="N838" i="2"/>
  <c r="N839" i="2"/>
  <c r="N840" i="2"/>
  <c r="N841" i="2"/>
  <c r="N842" i="2"/>
  <c r="N843" i="2"/>
  <c r="N844" i="2"/>
  <c r="N845" i="2"/>
  <c r="N846" i="2"/>
  <c r="N847" i="2"/>
  <c r="N848" i="2"/>
  <c r="N849" i="2"/>
  <c r="N850" i="2"/>
  <c r="N851" i="2"/>
  <c r="N852" i="2"/>
  <c r="N853" i="2"/>
  <c r="N854" i="2"/>
  <c r="N855" i="2"/>
  <c r="N856" i="2"/>
  <c r="N857" i="2"/>
  <c r="N858" i="2"/>
  <c r="N859" i="2"/>
  <c r="N860" i="2"/>
  <c r="N861" i="2"/>
  <c r="N862" i="2"/>
  <c r="N863" i="2"/>
  <c r="N864" i="2"/>
  <c r="N865" i="2"/>
  <c r="N866" i="2"/>
  <c r="N867" i="2"/>
  <c r="N868" i="2"/>
  <c r="N869" i="2"/>
  <c r="N870" i="2"/>
  <c r="N871" i="2"/>
  <c r="N872" i="2"/>
  <c r="N873" i="2"/>
  <c r="N874" i="2"/>
  <c r="N875" i="2"/>
  <c r="N876" i="2"/>
  <c r="N877" i="2"/>
  <c r="N878" i="2"/>
  <c r="N879" i="2"/>
  <c r="N880" i="2"/>
  <c r="N881" i="2"/>
  <c r="N882" i="2"/>
  <c r="N883" i="2"/>
  <c r="N884" i="2"/>
  <c r="N885" i="2"/>
  <c r="N886" i="2"/>
  <c r="N887" i="2"/>
  <c r="N888" i="2"/>
  <c r="N889" i="2"/>
  <c r="N890" i="2"/>
  <c r="N891" i="2"/>
  <c r="N892" i="2"/>
  <c r="N893" i="2"/>
  <c r="N894" i="2"/>
  <c r="N895" i="2"/>
  <c r="N896" i="2"/>
  <c r="N897" i="2"/>
  <c r="N898" i="2"/>
  <c r="N899" i="2"/>
  <c r="N900" i="2"/>
  <c r="N901" i="2"/>
  <c r="N902" i="2"/>
  <c r="N903" i="2"/>
  <c r="N904" i="2"/>
  <c r="N905" i="2"/>
  <c r="N906" i="2"/>
  <c r="N907" i="2"/>
  <c r="N908" i="2"/>
  <c r="N909" i="2"/>
  <c r="N910" i="2"/>
  <c r="N911" i="2"/>
  <c r="N912" i="2"/>
  <c r="N913" i="2"/>
  <c r="N914" i="2"/>
  <c r="N915" i="2"/>
  <c r="N916" i="2"/>
  <c r="N917" i="2"/>
  <c r="N918" i="2"/>
  <c r="N919" i="2"/>
  <c r="N920" i="2"/>
  <c r="N921" i="2"/>
  <c r="N922" i="2"/>
  <c r="N923" i="2"/>
  <c r="N924" i="2"/>
  <c r="N925" i="2"/>
  <c r="N926" i="2"/>
  <c r="N927" i="2"/>
  <c r="N928" i="2"/>
  <c r="N929" i="2"/>
  <c r="N930" i="2"/>
  <c r="N931" i="2"/>
  <c r="N932" i="2"/>
  <c r="N933" i="2"/>
  <c r="N934" i="2"/>
  <c r="N935" i="2"/>
  <c r="N936" i="2"/>
  <c r="N937" i="2"/>
  <c r="N938" i="2"/>
  <c r="N939" i="2"/>
  <c r="N940" i="2"/>
  <c r="N941" i="2"/>
  <c r="N942" i="2"/>
  <c r="N943" i="2"/>
  <c r="N944" i="2"/>
  <c r="N945" i="2"/>
  <c r="N946" i="2"/>
  <c r="N947" i="2"/>
  <c r="N948" i="2"/>
  <c r="N949" i="2"/>
  <c r="N950" i="2"/>
  <c r="N951" i="2"/>
  <c r="N952" i="2"/>
  <c r="N953" i="2"/>
  <c r="N954" i="2"/>
  <c r="N955" i="2"/>
  <c r="N956" i="2"/>
  <c r="N957" i="2"/>
  <c r="N958" i="2"/>
  <c r="N959" i="2"/>
  <c r="N960" i="2"/>
  <c r="N961" i="2"/>
  <c r="N962" i="2"/>
  <c r="N963" i="2"/>
  <c r="N964" i="2"/>
  <c r="N965" i="2"/>
  <c r="N966" i="2"/>
  <c r="N967" i="2"/>
  <c r="N968" i="2"/>
  <c r="N969" i="2"/>
  <c r="N970" i="2"/>
  <c r="N971" i="2"/>
  <c r="N972" i="2"/>
  <c r="N973" i="2"/>
  <c r="N974" i="2"/>
  <c r="N975" i="2"/>
  <c r="N976" i="2"/>
  <c r="N977" i="2"/>
  <c r="N978" i="2"/>
  <c r="N979" i="2"/>
  <c r="N980" i="2"/>
  <c r="N981" i="2"/>
  <c r="N982" i="2"/>
  <c r="N983" i="2"/>
  <c r="N984" i="2"/>
  <c r="N985" i="2"/>
  <c r="N986" i="2"/>
  <c r="N987" i="2"/>
  <c r="N988" i="2"/>
  <c r="N989" i="2"/>
  <c r="N990" i="2"/>
  <c r="N991" i="2"/>
  <c r="N992" i="2"/>
  <c r="N993" i="2"/>
  <c r="N994" i="2"/>
  <c r="N995" i="2"/>
  <c r="N996" i="2"/>
  <c r="N997" i="2"/>
  <c r="N998" i="2"/>
  <c r="N999" i="2"/>
  <c r="N1000" i="2"/>
  <c r="N1001" i="2"/>
  <c r="O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O510" i="2"/>
  <c r="O511" i="2"/>
  <c r="O512" i="2"/>
  <c r="O513" i="2"/>
  <c r="O514" i="2"/>
  <c r="O515" i="2"/>
  <c r="O516" i="2"/>
  <c r="O517" i="2"/>
  <c r="O518" i="2"/>
  <c r="O519" i="2"/>
  <c r="O520" i="2"/>
  <c r="O521" i="2"/>
  <c r="O522" i="2"/>
  <c r="O523" i="2"/>
  <c r="O524" i="2"/>
  <c r="O525" i="2"/>
  <c r="O526" i="2"/>
  <c r="O527" i="2"/>
  <c r="O528" i="2"/>
  <c r="O529" i="2"/>
  <c r="O530" i="2"/>
  <c r="O531" i="2"/>
  <c r="O532" i="2"/>
  <c r="O533" i="2"/>
  <c r="O534" i="2"/>
  <c r="O535" i="2"/>
  <c r="O536" i="2"/>
  <c r="O537" i="2"/>
  <c r="O538" i="2"/>
  <c r="O539" i="2"/>
  <c r="O540" i="2"/>
  <c r="O541" i="2"/>
  <c r="O542" i="2"/>
  <c r="O543" i="2"/>
  <c r="O544" i="2"/>
  <c r="O545" i="2"/>
  <c r="O546" i="2"/>
  <c r="O547" i="2"/>
  <c r="O548" i="2"/>
  <c r="O549" i="2"/>
  <c r="O550" i="2"/>
  <c r="O551" i="2"/>
  <c r="O552" i="2"/>
  <c r="O553" i="2"/>
  <c r="O554" i="2"/>
  <c r="O555" i="2"/>
  <c r="O556" i="2"/>
  <c r="O557" i="2"/>
  <c r="O558" i="2"/>
  <c r="O559" i="2"/>
  <c r="O560" i="2"/>
  <c r="O561" i="2"/>
  <c r="O562" i="2"/>
  <c r="O563" i="2"/>
  <c r="O564" i="2"/>
  <c r="O565" i="2"/>
  <c r="O566" i="2"/>
  <c r="O567" i="2"/>
  <c r="O568" i="2"/>
  <c r="O569" i="2"/>
  <c r="O570" i="2"/>
  <c r="O571" i="2"/>
  <c r="O572" i="2"/>
  <c r="O573" i="2"/>
  <c r="O574" i="2"/>
  <c r="O575" i="2"/>
  <c r="O576" i="2"/>
  <c r="O577" i="2"/>
  <c r="O578" i="2"/>
  <c r="O579" i="2"/>
  <c r="O580" i="2"/>
  <c r="O581" i="2"/>
  <c r="O582" i="2"/>
  <c r="O583" i="2"/>
  <c r="O584" i="2"/>
  <c r="O585" i="2"/>
  <c r="O586" i="2"/>
  <c r="O587" i="2"/>
  <c r="O588" i="2"/>
  <c r="O589" i="2"/>
  <c r="O590" i="2"/>
  <c r="O591" i="2"/>
  <c r="O592" i="2"/>
  <c r="O593" i="2"/>
  <c r="O594" i="2"/>
  <c r="O595" i="2"/>
  <c r="O596" i="2"/>
  <c r="O597" i="2"/>
  <c r="O598" i="2"/>
  <c r="O599" i="2"/>
  <c r="O600" i="2"/>
  <c r="O601" i="2"/>
  <c r="O602" i="2"/>
  <c r="O603" i="2"/>
  <c r="O604" i="2"/>
  <c r="O605" i="2"/>
  <c r="O606" i="2"/>
  <c r="O607" i="2"/>
  <c r="O608" i="2"/>
  <c r="O609" i="2"/>
  <c r="O610" i="2"/>
  <c r="O611" i="2"/>
  <c r="O612" i="2"/>
  <c r="O613" i="2"/>
  <c r="O614" i="2"/>
  <c r="O615" i="2"/>
  <c r="O616" i="2"/>
  <c r="O617" i="2"/>
  <c r="O618" i="2"/>
  <c r="O619" i="2"/>
  <c r="O620" i="2"/>
  <c r="O621" i="2"/>
  <c r="O622" i="2"/>
  <c r="O623" i="2"/>
  <c r="O624" i="2"/>
  <c r="O625" i="2"/>
  <c r="O626" i="2"/>
  <c r="O627" i="2"/>
  <c r="O628" i="2"/>
  <c r="O629" i="2"/>
  <c r="O630" i="2"/>
  <c r="O631" i="2"/>
  <c r="O632" i="2"/>
  <c r="O633" i="2"/>
  <c r="O634" i="2"/>
  <c r="O635" i="2"/>
  <c r="O636" i="2"/>
  <c r="O637" i="2"/>
  <c r="O638" i="2"/>
  <c r="O639" i="2"/>
  <c r="O640" i="2"/>
  <c r="O641" i="2"/>
  <c r="O642" i="2"/>
  <c r="O643" i="2"/>
  <c r="O644" i="2"/>
  <c r="O645" i="2"/>
  <c r="O646" i="2"/>
  <c r="O647" i="2"/>
  <c r="O648" i="2"/>
  <c r="O649" i="2"/>
  <c r="O650" i="2"/>
  <c r="O651" i="2"/>
  <c r="O652" i="2"/>
  <c r="O653" i="2"/>
  <c r="O654" i="2"/>
  <c r="O655" i="2"/>
  <c r="O656" i="2"/>
  <c r="O657" i="2"/>
  <c r="O658" i="2"/>
  <c r="O659" i="2"/>
  <c r="O660" i="2"/>
  <c r="O661" i="2"/>
  <c r="O662" i="2"/>
  <c r="O663" i="2"/>
  <c r="O664" i="2"/>
  <c r="O665" i="2"/>
  <c r="O666" i="2"/>
  <c r="O667" i="2"/>
  <c r="O668" i="2"/>
  <c r="O669" i="2"/>
  <c r="O670" i="2"/>
  <c r="O671" i="2"/>
  <c r="O672" i="2"/>
  <c r="O673" i="2"/>
  <c r="O674" i="2"/>
  <c r="O675" i="2"/>
  <c r="O676" i="2"/>
  <c r="O677" i="2"/>
  <c r="O678" i="2"/>
  <c r="O679" i="2"/>
  <c r="O680" i="2"/>
  <c r="O681" i="2"/>
  <c r="O682" i="2"/>
  <c r="O683" i="2"/>
  <c r="O684" i="2"/>
  <c r="O685" i="2"/>
  <c r="O686" i="2"/>
  <c r="O687" i="2"/>
  <c r="O688" i="2"/>
  <c r="O689" i="2"/>
  <c r="O690" i="2"/>
  <c r="O691" i="2"/>
  <c r="O692" i="2"/>
  <c r="O693" i="2"/>
  <c r="O694" i="2"/>
  <c r="O695" i="2"/>
  <c r="O696" i="2"/>
  <c r="O697" i="2"/>
  <c r="O698" i="2"/>
  <c r="O699" i="2"/>
  <c r="O700" i="2"/>
  <c r="O701" i="2"/>
  <c r="O702" i="2"/>
  <c r="O703" i="2"/>
  <c r="O704" i="2"/>
  <c r="O705" i="2"/>
  <c r="O706" i="2"/>
  <c r="O707" i="2"/>
  <c r="O708" i="2"/>
  <c r="O709" i="2"/>
  <c r="O710" i="2"/>
  <c r="O711" i="2"/>
  <c r="O712" i="2"/>
  <c r="O713" i="2"/>
  <c r="O714" i="2"/>
  <c r="O715" i="2"/>
  <c r="O716" i="2"/>
  <c r="O717" i="2"/>
  <c r="O718" i="2"/>
  <c r="O719" i="2"/>
  <c r="O720" i="2"/>
  <c r="O721" i="2"/>
  <c r="O722" i="2"/>
  <c r="O723" i="2"/>
  <c r="O724" i="2"/>
  <c r="O725" i="2"/>
  <c r="O726" i="2"/>
  <c r="O727" i="2"/>
  <c r="O728" i="2"/>
  <c r="O729" i="2"/>
  <c r="O730" i="2"/>
  <c r="O731" i="2"/>
  <c r="O732" i="2"/>
  <c r="O733" i="2"/>
  <c r="O734" i="2"/>
  <c r="O735" i="2"/>
  <c r="O736" i="2"/>
  <c r="O737" i="2"/>
  <c r="O738" i="2"/>
  <c r="O739" i="2"/>
  <c r="O740" i="2"/>
  <c r="O741" i="2"/>
  <c r="O742" i="2"/>
  <c r="O743" i="2"/>
  <c r="O744" i="2"/>
  <c r="O745" i="2"/>
  <c r="O746" i="2"/>
  <c r="O747" i="2"/>
  <c r="O748" i="2"/>
  <c r="O749" i="2"/>
  <c r="O750" i="2"/>
  <c r="O751" i="2"/>
  <c r="O752" i="2"/>
  <c r="O753" i="2"/>
  <c r="O754" i="2"/>
  <c r="O755" i="2"/>
  <c r="O756" i="2"/>
  <c r="O757" i="2"/>
  <c r="O758" i="2"/>
  <c r="O759" i="2"/>
  <c r="O760" i="2"/>
  <c r="O761" i="2"/>
  <c r="O762" i="2"/>
  <c r="O763" i="2"/>
  <c r="O764" i="2"/>
  <c r="O765" i="2"/>
  <c r="O766" i="2"/>
  <c r="O767" i="2"/>
  <c r="O768" i="2"/>
  <c r="O769" i="2"/>
  <c r="O770" i="2"/>
  <c r="O771" i="2"/>
  <c r="O772" i="2"/>
  <c r="O773" i="2"/>
  <c r="O774" i="2"/>
  <c r="O775" i="2"/>
  <c r="O776" i="2"/>
  <c r="O777" i="2"/>
  <c r="O778" i="2"/>
  <c r="O779" i="2"/>
  <c r="O780" i="2"/>
  <c r="O781" i="2"/>
  <c r="O782" i="2"/>
  <c r="O783" i="2"/>
  <c r="O784" i="2"/>
  <c r="O785" i="2"/>
  <c r="O786" i="2"/>
  <c r="O787" i="2"/>
  <c r="O788" i="2"/>
  <c r="O789" i="2"/>
  <c r="O790" i="2"/>
  <c r="O791" i="2"/>
  <c r="O792" i="2"/>
  <c r="O793" i="2"/>
  <c r="O794" i="2"/>
  <c r="O795" i="2"/>
  <c r="O796" i="2"/>
  <c r="O797" i="2"/>
  <c r="O798" i="2"/>
  <c r="O799" i="2"/>
  <c r="O800" i="2"/>
  <c r="O801" i="2"/>
  <c r="O802" i="2"/>
  <c r="O803" i="2"/>
  <c r="O804" i="2"/>
  <c r="O805" i="2"/>
  <c r="O806" i="2"/>
  <c r="O807" i="2"/>
  <c r="O808" i="2"/>
  <c r="O809" i="2"/>
  <c r="O810" i="2"/>
  <c r="O811" i="2"/>
  <c r="O812" i="2"/>
  <c r="O813" i="2"/>
  <c r="O814" i="2"/>
  <c r="O815" i="2"/>
  <c r="O816" i="2"/>
  <c r="O817" i="2"/>
  <c r="O818" i="2"/>
  <c r="O819" i="2"/>
  <c r="O820" i="2"/>
  <c r="O821" i="2"/>
  <c r="O822" i="2"/>
  <c r="O823" i="2"/>
  <c r="O824" i="2"/>
  <c r="O825" i="2"/>
  <c r="O826" i="2"/>
  <c r="O827" i="2"/>
  <c r="O828" i="2"/>
  <c r="O829" i="2"/>
  <c r="O830" i="2"/>
  <c r="O831" i="2"/>
  <c r="O832" i="2"/>
  <c r="O833" i="2"/>
  <c r="O834" i="2"/>
  <c r="O835" i="2"/>
  <c r="O836" i="2"/>
  <c r="O837" i="2"/>
  <c r="O838" i="2"/>
  <c r="O839" i="2"/>
  <c r="O840" i="2"/>
  <c r="O841" i="2"/>
  <c r="O842" i="2"/>
  <c r="O843" i="2"/>
  <c r="O844" i="2"/>
  <c r="O845" i="2"/>
  <c r="O846" i="2"/>
  <c r="O847" i="2"/>
  <c r="O848" i="2"/>
  <c r="O849" i="2"/>
  <c r="O850" i="2"/>
  <c r="O851" i="2"/>
  <c r="O852" i="2"/>
  <c r="O853" i="2"/>
  <c r="O854" i="2"/>
  <c r="O855" i="2"/>
  <c r="O856" i="2"/>
  <c r="O857" i="2"/>
  <c r="O858" i="2"/>
  <c r="O859" i="2"/>
  <c r="O860" i="2"/>
  <c r="O861" i="2"/>
  <c r="O862" i="2"/>
  <c r="O863" i="2"/>
  <c r="O864" i="2"/>
  <c r="O865" i="2"/>
  <c r="O866" i="2"/>
  <c r="O867" i="2"/>
  <c r="O868" i="2"/>
  <c r="O869" i="2"/>
  <c r="O870" i="2"/>
  <c r="O871" i="2"/>
  <c r="O872" i="2"/>
  <c r="O873" i="2"/>
  <c r="O874" i="2"/>
  <c r="O875" i="2"/>
  <c r="O876" i="2"/>
  <c r="O877" i="2"/>
  <c r="O878" i="2"/>
  <c r="O879" i="2"/>
  <c r="O880" i="2"/>
  <c r="O881" i="2"/>
  <c r="O882" i="2"/>
  <c r="O883" i="2"/>
  <c r="O884" i="2"/>
  <c r="O885" i="2"/>
  <c r="O886" i="2"/>
  <c r="O887" i="2"/>
  <c r="O888" i="2"/>
  <c r="O889" i="2"/>
  <c r="O890" i="2"/>
  <c r="O891" i="2"/>
  <c r="O892" i="2"/>
  <c r="O893" i="2"/>
  <c r="O894" i="2"/>
  <c r="O895" i="2"/>
  <c r="O896" i="2"/>
  <c r="O897" i="2"/>
  <c r="O898" i="2"/>
  <c r="O899" i="2"/>
  <c r="O900" i="2"/>
  <c r="O901" i="2"/>
  <c r="O902" i="2"/>
  <c r="O903" i="2"/>
  <c r="O904" i="2"/>
  <c r="O905" i="2"/>
  <c r="O906" i="2"/>
  <c r="O907" i="2"/>
  <c r="O908" i="2"/>
  <c r="O909" i="2"/>
  <c r="O910" i="2"/>
  <c r="O911" i="2"/>
  <c r="O912" i="2"/>
  <c r="O913" i="2"/>
  <c r="O914" i="2"/>
  <c r="O915" i="2"/>
  <c r="O916" i="2"/>
  <c r="O917" i="2"/>
  <c r="O918" i="2"/>
  <c r="O919" i="2"/>
  <c r="O920" i="2"/>
  <c r="O921" i="2"/>
  <c r="O922" i="2"/>
  <c r="O923" i="2"/>
  <c r="O924" i="2"/>
  <c r="O925" i="2"/>
  <c r="O926" i="2"/>
  <c r="O927" i="2"/>
  <c r="O928" i="2"/>
  <c r="O929" i="2"/>
  <c r="O930" i="2"/>
  <c r="O931" i="2"/>
  <c r="O932" i="2"/>
  <c r="O933" i="2"/>
  <c r="O934" i="2"/>
  <c r="O935" i="2"/>
  <c r="O936" i="2"/>
  <c r="O937" i="2"/>
  <c r="O938" i="2"/>
  <c r="O939" i="2"/>
  <c r="O940" i="2"/>
  <c r="O941" i="2"/>
  <c r="O942" i="2"/>
  <c r="O943" i="2"/>
  <c r="O944" i="2"/>
  <c r="O945" i="2"/>
  <c r="O946" i="2"/>
  <c r="O947" i="2"/>
  <c r="O948" i="2"/>
  <c r="O949" i="2"/>
  <c r="O950" i="2"/>
  <c r="O951" i="2"/>
  <c r="O952" i="2"/>
  <c r="O953" i="2"/>
  <c r="O954" i="2"/>
  <c r="O955" i="2"/>
  <c r="O956" i="2"/>
  <c r="O957" i="2"/>
  <c r="O958" i="2"/>
  <c r="O959" i="2"/>
  <c r="O960" i="2"/>
  <c r="O961" i="2"/>
  <c r="O962" i="2"/>
  <c r="O963" i="2"/>
  <c r="O964" i="2"/>
  <c r="O965" i="2"/>
  <c r="O966" i="2"/>
  <c r="O967" i="2"/>
  <c r="O968" i="2"/>
  <c r="O969" i="2"/>
  <c r="O970" i="2"/>
  <c r="O971" i="2"/>
  <c r="O972" i="2"/>
  <c r="O973" i="2"/>
  <c r="O974" i="2"/>
  <c r="O975" i="2"/>
  <c r="O976" i="2"/>
  <c r="O977" i="2"/>
  <c r="O978" i="2"/>
  <c r="O979" i="2"/>
  <c r="O980" i="2"/>
  <c r="O981" i="2"/>
  <c r="O982" i="2"/>
  <c r="O983" i="2"/>
  <c r="O984" i="2"/>
  <c r="O985" i="2"/>
  <c r="O986" i="2"/>
  <c r="O987" i="2"/>
  <c r="O988" i="2"/>
  <c r="O989" i="2"/>
  <c r="O990" i="2"/>
  <c r="O991" i="2"/>
  <c r="O992" i="2"/>
  <c r="O993" i="2"/>
  <c r="O994" i="2"/>
  <c r="O995" i="2"/>
  <c r="O996" i="2"/>
  <c r="O997" i="2"/>
  <c r="O998" i="2"/>
  <c r="O999" i="2"/>
  <c r="O1000" i="2"/>
  <c r="O1001" i="2"/>
  <c r="U2" i="2"/>
  <c r="U3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U121" i="2"/>
  <c r="U122" i="2"/>
  <c r="U123" i="2"/>
  <c r="U124" i="2"/>
  <c r="U125" i="2"/>
  <c r="U126" i="2"/>
  <c r="U127" i="2"/>
  <c r="U128" i="2"/>
  <c r="U129" i="2"/>
  <c r="U130" i="2"/>
  <c r="U131" i="2"/>
  <c r="U132" i="2"/>
  <c r="U133" i="2"/>
  <c r="U134" i="2"/>
  <c r="U135" i="2"/>
  <c r="U136" i="2"/>
  <c r="U137" i="2"/>
  <c r="U138" i="2"/>
  <c r="U139" i="2"/>
  <c r="U140" i="2"/>
  <c r="U141" i="2"/>
  <c r="U142" i="2"/>
  <c r="U143" i="2"/>
  <c r="U144" i="2"/>
  <c r="U145" i="2"/>
  <c r="U146" i="2"/>
  <c r="U147" i="2"/>
  <c r="U148" i="2"/>
  <c r="U149" i="2"/>
  <c r="U150" i="2"/>
  <c r="U151" i="2"/>
  <c r="U152" i="2"/>
  <c r="U153" i="2"/>
  <c r="U154" i="2"/>
  <c r="U155" i="2"/>
  <c r="U156" i="2"/>
  <c r="U157" i="2"/>
  <c r="U158" i="2"/>
  <c r="U159" i="2"/>
  <c r="U160" i="2"/>
  <c r="U161" i="2"/>
  <c r="U162" i="2"/>
  <c r="U163" i="2"/>
  <c r="U164" i="2"/>
  <c r="U165" i="2"/>
  <c r="U166" i="2"/>
  <c r="U167" i="2"/>
  <c r="U168" i="2"/>
  <c r="U169" i="2"/>
  <c r="U170" i="2"/>
  <c r="U171" i="2"/>
  <c r="U172" i="2"/>
  <c r="U173" i="2"/>
  <c r="U174" i="2"/>
  <c r="U175" i="2"/>
  <c r="U176" i="2"/>
  <c r="U177" i="2"/>
  <c r="U178" i="2"/>
  <c r="U179" i="2"/>
  <c r="U180" i="2"/>
  <c r="U181" i="2"/>
  <c r="U182" i="2"/>
  <c r="U183" i="2"/>
  <c r="U184" i="2"/>
  <c r="U185" i="2"/>
  <c r="U186" i="2"/>
  <c r="U187" i="2"/>
  <c r="U188" i="2"/>
  <c r="U189" i="2"/>
  <c r="U190" i="2"/>
  <c r="U191" i="2"/>
  <c r="U192" i="2"/>
  <c r="U193" i="2"/>
  <c r="U194" i="2"/>
  <c r="U195" i="2"/>
  <c r="U196" i="2"/>
  <c r="U197" i="2"/>
  <c r="U198" i="2"/>
  <c r="U199" i="2"/>
  <c r="U200" i="2"/>
  <c r="U201" i="2"/>
  <c r="U202" i="2"/>
  <c r="U203" i="2"/>
  <c r="U204" i="2"/>
  <c r="U205" i="2"/>
  <c r="U206" i="2"/>
  <c r="U207" i="2"/>
  <c r="U208" i="2"/>
  <c r="U209" i="2"/>
  <c r="U210" i="2"/>
  <c r="U211" i="2"/>
  <c r="U212" i="2"/>
  <c r="U213" i="2"/>
  <c r="U214" i="2"/>
  <c r="U215" i="2"/>
  <c r="U216" i="2"/>
  <c r="U217" i="2"/>
  <c r="U218" i="2"/>
  <c r="U219" i="2"/>
  <c r="U220" i="2"/>
  <c r="U221" i="2"/>
  <c r="U222" i="2"/>
  <c r="U223" i="2"/>
  <c r="U224" i="2"/>
  <c r="U225" i="2"/>
  <c r="U226" i="2"/>
  <c r="U227" i="2"/>
  <c r="U228" i="2"/>
  <c r="U229" i="2"/>
  <c r="U230" i="2"/>
  <c r="U231" i="2"/>
  <c r="U232" i="2"/>
  <c r="U233" i="2"/>
  <c r="U234" i="2"/>
  <c r="U235" i="2"/>
  <c r="U236" i="2"/>
  <c r="U237" i="2"/>
  <c r="U238" i="2"/>
  <c r="U239" i="2"/>
  <c r="U240" i="2"/>
  <c r="U241" i="2"/>
  <c r="U242" i="2"/>
  <c r="U243" i="2"/>
  <c r="U244" i="2"/>
  <c r="U245" i="2"/>
  <c r="U246" i="2"/>
  <c r="U247" i="2"/>
  <c r="U248" i="2"/>
  <c r="U249" i="2"/>
  <c r="U250" i="2"/>
  <c r="U251" i="2"/>
  <c r="U252" i="2"/>
  <c r="U253" i="2"/>
  <c r="U254" i="2"/>
  <c r="U255" i="2"/>
  <c r="U256" i="2"/>
  <c r="U257" i="2"/>
  <c r="U258" i="2"/>
  <c r="U259" i="2"/>
  <c r="U260" i="2"/>
  <c r="U261" i="2"/>
  <c r="U262" i="2"/>
  <c r="U263" i="2"/>
  <c r="U264" i="2"/>
  <c r="U265" i="2"/>
  <c r="U266" i="2"/>
  <c r="U267" i="2"/>
  <c r="U268" i="2"/>
  <c r="U269" i="2"/>
  <c r="U270" i="2"/>
  <c r="U271" i="2"/>
  <c r="U272" i="2"/>
  <c r="U273" i="2"/>
  <c r="U274" i="2"/>
  <c r="U275" i="2"/>
  <c r="U276" i="2"/>
  <c r="U277" i="2"/>
  <c r="U278" i="2"/>
  <c r="U279" i="2"/>
  <c r="U280" i="2"/>
  <c r="U281" i="2"/>
  <c r="U282" i="2"/>
  <c r="U283" i="2"/>
  <c r="U284" i="2"/>
  <c r="U285" i="2"/>
  <c r="U286" i="2"/>
  <c r="U287" i="2"/>
  <c r="U288" i="2"/>
  <c r="U289" i="2"/>
  <c r="U290" i="2"/>
  <c r="U291" i="2"/>
  <c r="U292" i="2"/>
  <c r="U293" i="2"/>
  <c r="U294" i="2"/>
  <c r="U295" i="2"/>
  <c r="U296" i="2"/>
  <c r="U297" i="2"/>
  <c r="U298" i="2"/>
  <c r="U299" i="2"/>
  <c r="U300" i="2"/>
  <c r="U301" i="2"/>
  <c r="U302" i="2"/>
  <c r="U303" i="2"/>
  <c r="U304" i="2"/>
  <c r="U305" i="2"/>
  <c r="U306" i="2"/>
  <c r="U307" i="2"/>
  <c r="U308" i="2"/>
  <c r="U309" i="2"/>
  <c r="U310" i="2"/>
  <c r="U311" i="2"/>
  <c r="U312" i="2"/>
  <c r="U313" i="2"/>
  <c r="U314" i="2"/>
  <c r="U315" i="2"/>
  <c r="U316" i="2"/>
  <c r="U317" i="2"/>
  <c r="U318" i="2"/>
  <c r="U319" i="2"/>
  <c r="U320" i="2"/>
  <c r="U321" i="2"/>
  <c r="U322" i="2"/>
  <c r="U323" i="2"/>
  <c r="U324" i="2"/>
  <c r="U325" i="2"/>
  <c r="U326" i="2"/>
  <c r="U327" i="2"/>
  <c r="U328" i="2"/>
  <c r="U329" i="2"/>
  <c r="U330" i="2"/>
  <c r="U331" i="2"/>
  <c r="U332" i="2"/>
  <c r="U333" i="2"/>
  <c r="U334" i="2"/>
  <c r="U335" i="2"/>
  <c r="U336" i="2"/>
  <c r="U337" i="2"/>
  <c r="U338" i="2"/>
  <c r="U339" i="2"/>
  <c r="U340" i="2"/>
  <c r="U341" i="2"/>
  <c r="U342" i="2"/>
  <c r="U343" i="2"/>
  <c r="U344" i="2"/>
  <c r="U345" i="2"/>
  <c r="U346" i="2"/>
  <c r="U347" i="2"/>
  <c r="U348" i="2"/>
  <c r="U349" i="2"/>
  <c r="U350" i="2"/>
  <c r="U351" i="2"/>
  <c r="U352" i="2"/>
  <c r="U353" i="2"/>
  <c r="U354" i="2"/>
  <c r="U355" i="2"/>
  <c r="U356" i="2"/>
  <c r="U357" i="2"/>
  <c r="U358" i="2"/>
  <c r="U359" i="2"/>
  <c r="U360" i="2"/>
  <c r="U361" i="2"/>
  <c r="U362" i="2"/>
  <c r="U363" i="2"/>
  <c r="U364" i="2"/>
  <c r="U365" i="2"/>
  <c r="U366" i="2"/>
  <c r="U367" i="2"/>
  <c r="U368" i="2"/>
  <c r="U369" i="2"/>
  <c r="U370" i="2"/>
  <c r="U371" i="2"/>
  <c r="U372" i="2"/>
  <c r="U373" i="2"/>
  <c r="U374" i="2"/>
  <c r="U375" i="2"/>
  <c r="U376" i="2"/>
  <c r="U377" i="2"/>
  <c r="U378" i="2"/>
  <c r="U379" i="2"/>
  <c r="U380" i="2"/>
  <c r="U381" i="2"/>
  <c r="U382" i="2"/>
  <c r="U383" i="2"/>
  <c r="U384" i="2"/>
  <c r="U385" i="2"/>
  <c r="U386" i="2"/>
  <c r="U387" i="2"/>
  <c r="U388" i="2"/>
  <c r="U389" i="2"/>
  <c r="U390" i="2"/>
  <c r="U391" i="2"/>
  <c r="U392" i="2"/>
  <c r="U393" i="2"/>
  <c r="U394" i="2"/>
  <c r="U395" i="2"/>
  <c r="U396" i="2"/>
  <c r="U397" i="2"/>
  <c r="U398" i="2"/>
  <c r="U399" i="2"/>
  <c r="U400" i="2"/>
  <c r="U401" i="2"/>
  <c r="U402" i="2"/>
  <c r="U403" i="2"/>
  <c r="U404" i="2"/>
  <c r="U405" i="2"/>
  <c r="U406" i="2"/>
  <c r="U407" i="2"/>
  <c r="U408" i="2"/>
  <c r="U409" i="2"/>
  <c r="U410" i="2"/>
  <c r="U411" i="2"/>
  <c r="U412" i="2"/>
  <c r="U413" i="2"/>
  <c r="U414" i="2"/>
  <c r="U415" i="2"/>
  <c r="U416" i="2"/>
  <c r="U417" i="2"/>
  <c r="U418" i="2"/>
  <c r="U419" i="2"/>
  <c r="U420" i="2"/>
  <c r="U421" i="2"/>
  <c r="U422" i="2"/>
  <c r="U423" i="2"/>
  <c r="U424" i="2"/>
  <c r="U425" i="2"/>
  <c r="U426" i="2"/>
  <c r="U427" i="2"/>
  <c r="U428" i="2"/>
  <c r="U429" i="2"/>
  <c r="U430" i="2"/>
  <c r="U431" i="2"/>
  <c r="U432" i="2"/>
  <c r="U433" i="2"/>
  <c r="U434" i="2"/>
  <c r="U435" i="2"/>
  <c r="U436" i="2"/>
  <c r="U437" i="2"/>
  <c r="U438" i="2"/>
  <c r="U439" i="2"/>
  <c r="U440" i="2"/>
  <c r="U441" i="2"/>
  <c r="U442" i="2"/>
  <c r="U443" i="2"/>
  <c r="U444" i="2"/>
  <c r="U445" i="2"/>
  <c r="U446" i="2"/>
  <c r="U447" i="2"/>
  <c r="U448" i="2"/>
  <c r="U449" i="2"/>
  <c r="U450" i="2"/>
  <c r="U451" i="2"/>
  <c r="U452" i="2"/>
  <c r="U453" i="2"/>
  <c r="U454" i="2"/>
  <c r="U455" i="2"/>
  <c r="U456" i="2"/>
  <c r="U457" i="2"/>
  <c r="U458" i="2"/>
  <c r="U459" i="2"/>
  <c r="U460" i="2"/>
  <c r="U461" i="2"/>
  <c r="U462" i="2"/>
  <c r="U463" i="2"/>
  <c r="U464" i="2"/>
  <c r="U465" i="2"/>
  <c r="U466" i="2"/>
  <c r="U467" i="2"/>
  <c r="U468" i="2"/>
  <c r="U469" i="2"/>
  <c r="U470" i="2"/>
  <c r="U471" i="2"/>
  <c r="U472" i="2"/>
  <c r="U473" i="2"/>
  <c r="U474" i="2"/>
  <c r="U475" i="2"/>
  <c r="U476" i="2"/>
  <c r="U477" i="2"/>
  <c r="U478" i="2"/>
  <c r="U479" i="2"/>
  <c r="U480" i="2"/>
  <c r="U481" i="2"/>
  <c r="U482" i="2"/>
  <c r="U483" i="2"/>
  <c r="U484" i="2"/>
  <c r="U485" i="2"/>
  <c r="U486" i="2"/>
  <c r="U487" i="2"/>
  <c r="U488" i="2"/>
  <c r="U489" i="2"/>
  <c r="U490" i="2"/>
  <c r="U491" i="2"/>
  <c r="U492" i="2"/>
  <c r="U493" i="2"/>
  <c r="U494" i="2"/>
  <c r="U495" i="2"/>
  <c r="U496" i="2"/>
  <c r="U497" i="2"/>
  <c r="U498" i="2"/>
  <c r="U499" i="2"/>
  <c r="U500" i="2"/>
  <c r="U501" i="2"/>
  <c r="U502" i="2"/>
  <c r="U503" i="2"/>
  <c r="U504" i="2"/>
  <c r="U505" i="2"/>
  <c r="U506" i="2"/>
  <c r="U507" i="2"/>
  <c r="U508" i="2"/>
  <c r="U509" i="2"/>
  <c r="U510" i="2"/>
  <c r="U511" i="2"/>
  <c r="U512" i="2"/>
  <c r="U513" i="2"/>
  <c r="U514" i="2"/>
  <c r="U515" i="2"/>
  <c r="U516" i="2"/>
  <c r="U517" i="2"/>
  <c r="U518" i="2"/>
  <c r="U519" i="2"/>
  <c r="U520" i="2"/>
  <c r="U521" i="2"/>
  <c r="U522" i="2"/>
  <c r="U523" i="2"/>
  <c r="U524" i="2"/>
  <c r="U525" i="2"/>
  <c r="U526" i="2"/>
  <c r="U527" i="2"/>
  <c r="U528" i="2"/>
  <c r="U529" i="2"/>
  <c r="U530" i="2"/>
  <c r="U531" i="2"/>
  <c r="U532" i="2"/>
  <c r="U533" i="2"/>
  <c r="U534" i="2"/>
  <c r="U535" i="2"/>
  <c r="U536" i="2"/>
  <c r="U537" i="2"/>
  <c r="U538" i="2"/>
  <c r="U539" i="2"/>
  <c r="U540" i="2"/>
  <c r="U541" i="2"/>
  <c r="U542" i="2"/>
  <c r="U543" i="2"/>
  <c r="U544" i="2"/>
  <c r="U545" i="2"/>
  <c r="U546" i="2"/>
  <c r="U547" i="2"/>
  <c r="U548" i="2"/>
  <c r="U549" i="2"/>
  <c r="U550" i="2"/>
  <c r="U551" i="2"/>
  <c r="U552" i="2"/>
  <c r="U553" i="2"/>
  <c r="U554" i="2"/>
  <c r="U555" i="2"/>
  <c r="U556" i="2"/>
  <c r="U557" i="2"/>
  <c r="U558" i="2"/>
  <c r="U559" i="2"/>
  <c r="U560" i="2"/>
  <c r="U561" i="2"/>
  <c r="U562" i="2"/>
  <c r="U563" i="2"/>
  <c r="U564" i="2"/>
  <c r="U565" i="2"/>
  <c r="U566" i="2"/>
  <c r="U567" i="2"/>
  <c r="U568" i="2"/>
  <c r="U569" i="2"/>
  <c r="U570" i="2"/>
  <c r="U571" i="2"/>
  <c r="U572" i="2"/>
  <c r="U573" i="2"/>
  <c r="U574" i="2"/>
  <c r="U575" i="2"/>
  <c r="U576" i="2"/>
  <c r="U577" i="2"/>
  <c r="U578" i="2"/>
  <c r="U579" i="2"/>
  <c r="U580" i="2"/>
  <c r="U581" i="2"/>
  <c r="U582" i="2"/>
  <c r="U583" i="2"/>
  <c r="U584" i="2"/>
  <c r="U585" i="2"/>
  <c r="U586" i="2"/>
  <c r="U587" i="2"/>
  <c r="U588" i="2"/>
  <c r="U589" i="2"/>
  <c r="U590" i="2"/>
  <c r="U591" i="2"/>
  <c r="U592" i="2"/>
  <c r="U593" i="2"/>
  <c r="U594" i="2"/>
  <c r="U595" i="2"/>
  <c r="U596" i="2"/>
  <c r="U597" i="2"/>
  <c r="U598" i="2"/>
  <c r="U599" i="2"/>
  <c r="U600" i="2"/>
  <c r="U601" i="2"/>
  <c r="U602" i="2"/>
  <c r="U603" i="2"/>
  <c r="U604" i="2"/>
  <c r="U605" i="2"/>
  <c r="U606" i="2"/>
  <c r="U607" i="2"/>
  <c r="U608" i="2"/>
  <c r="U609" i="2"/>
  <c r="U610" i="2"/>
  <c r="U611" i="2"/>
  <c r="U612" i="2"/>
  <c r="U613" i="2"/>
  <c r="U614" i="2"/>
  <c r="U615" i="2"/>
  <c r="U616" i="2"/>
  <c r="U617" i="2"/>
  <c r="U618" i="2"/>
  <c r="U619" i="2"/>
  <c r="U620" i="2"/>
  <c r="U621" i="2"/>
  <c r="U622" i="2"/>
  <c r="U623" i="2"/>
  <c r="U624" i="2"/>
  <c r="U625" i="2"/>
  <c r="U626" i="2"/>
  <c r="U627" i="2"/>
  <c r="U628" i="2"/>
  <c r="U629" i="2"/>
  <c r="U630" i="2"/>
  <c r="U631" i="2"/>
  <c r="U632" i="2"/>
  <c r="U633" i="2"/>
  <c r="U634" i="2"/>
  <c r="U635" i="2"/>
  <c r="U636" i="2"/>
  <c r="U637" i="2"/>
  <c r="U638" i="2"/>
  <c r="U639" i="2"/>
  <c r="U640" i="2"/>
  <c r="U641" i="2"/>
  <c r="U642" i="2"/>
  <c r="U643" i="2"/>
  <c r="U644" i="2"/>
  <c r="U645" i="2"/>
  <c r="U646" i="2"/>
  <c r="U647" i="2"/>
  <c r="U648" i="2"/>
  <c r="U649" i="2"/>
  <c r="U650" i="2"/>
  <c r="U651" i="2"/>
  <c r="U652" i="2"/>
  <c r="U653" i="2"/>
  <c r="U654" i="2"/>
  <c r="U655" i="2"/>
  <c r="U656" i="2"/>
  <c r="U657" i="2"/>
  <c r="U658" i="2"/>
  <c r="U659" i="2"/>
  <c r="U660" i="2"/>
  <c r="U661" i="2"/>
  <c r="U662" i="2"/>
  <c r="U663" i="2"/>
  <c r="U664" i="2"/>
  <c r="U665" i="2"/>
  <c r="U666" i="2"/>
  <c r="U667" i="2"/>
  <c r="U668" i="2"/>
  <c r="U669" i="2"/>
  <c r="U670" i="2"/>
  <c r="U671" i="2"/>
  <c r="U672" i="2"/>
  <c r="U673" i="2"/>
  <c r="U674" i="2"/>
  <c r="U675" i="2"/>
  <c r="U676" i="2"/>
  <c r="U677" i="2"/>
  <c r="U678" i="2"/>
  <c r="U679" i="2"/>
  <c r="U680" i="2"/>
  <c r="U681" i="2"/>
  <c r="U682" i="2"/>
  <c r="U683" i="2"/>
  <c r="U684" i="2"/>
  <c r="U685" i="2"/>
  <c r="U686" i="2"/>
  <c r="U687" i="2"/>
  <c r="U688" i="2"/>
  <c r="U689" i="2"/>
  <c r="U690" i="2"/>
  <c r="U691" i="2"/>
  <c r="U692" i="2"/>
  <c r="U693" i="2"/>
  <c r="U694" i="2"/>
  <c r="U695" i="2"/>
  <c r="U696" i="2"/>
  <c r="U697" i="2"/>
  <c r="U698" i="2"/>
  <c r="U699" i="2"/>
  <c r="U700" i="2"/>
  <c r="U701" i="2"/>
  <c r="U702" i="2"/>
  <c r="U703" i="2"/>
  <c r="U704" i="2"/>
  <c r="U705" i="2"/>
  <c r="U706" i="2"/>
  <c r="U707" i="2"/>
  <c r="U708" i="2"/>
  <c r="U709" i="2"/>
  <c r="U710" i="2"/>
  <c r="U711" i="2"/>
  <c r="U712" i="2"/>
  <c r="U713" i="2"/>
  <c r="U714" i="2"/>
  <c r="U715" i="2"/>
  <c r="U716" i="2"/>
  <c r="U717" i="2"/>
  <c r="U718" i="2"/>
  <c r="U719" i="2"/>
  <c r="U720" i="2"/>
  <c r="U721" i="2"/>
  <c r="U722" i="2"/>
  <c r="U723" i="2"/>
  <c r="U724" i="2"/>
  <c r="U725" i="2"/>
  <c r="U726" i="2"/>
  <c r="U727" i="2"/>
  <c r="U728" i="2"/>
  <c r="U729" i="2"/>
  <c r="U730" i="2"/>
  <c r="U731" i="2"/>
  <c r="U732" i="2"/>
  <c r="U733" i="2"/>
  <c r="U734" i="2"/>
  <c r="U735" i="2"/>
  <c r="U736" i="2"/>
  <c r="U737" i="2"/>
  <c r="U738" i="2"/>
  <c r="U739" i="2"/>
  <c r="U740" i="2"/>
  <c r="U741" i="2"/>
  <c r="U742" i="2"/>
  <c r="U743" i="2"/>
  <c r="U744" i="2"/>
  <c r="U745" i="2"/>
  <c r="U746" i="2"/>
  <c r="U747" i="2"/>
  <c r="U748" i="2"/>
  <c r="U749" i="2"/>
  <c r="U750" i="2"/>
  <c r="U751" i="2"/>
  <c r="U752" i="2"/>
  <c r="U753" i="2"/>
  <c r="U754" i="2"/>
  <c r="U755" i="2"/>
  <c r="U756" i="2"/>
  <c r="U757" i="2"/>
  <c r="U758" i="2"/>
  <c r="U759" i="2"/>
  <c r="U760" i="2"/>
  <c r="U761" i="2"/>
  <c r="U762" i="2"/>
  <c r="U763" i="2"/>
  <c r="U764" i="2"/>
  <c r="U765" i="2"/>
  <c r="U766" i="2"/>
  <c r="U767" i="2"/>
  <c r="U768" i="2"/>
  <c r="U769" i="2"/>
  <c r="U770" i="2"/>
  <c r="U771" i="2"/>
  <c r="U772" i="2"/>
  <c r="U773" i="2"/>
  <c r="U774" i="2"/>
  <c r="U775" i="2"/>
  <c r="U776" i="2"/>
  <c r="U777" i="2"/>
  <c r="U778" i="2"/>
  <c r="U779" i="2"/>
  <c r="U780" i="2"/>
  <c r="U781" i="2"/>
  <c r="U782" i="2"/>
  <c r="U783" i="2"/>
  <c r="U784" i="2"/>
  <c r="U785" i="2"/>
  <c r="U786" i="2"/>
  <c r="U787" i="2"/>
  <c r="U788" i="2"/>
  <c r="U789" i="2"/>
  <c r="U790" i="2"/>
  <c r="U791" i="2"/>
  <c r="U792" i="2"/>
  <c r="U793" i="2"/>
  <c r="U794" i="2"/>
  <c r="U795" i="2"/>
  <c r="U796" i="2"/>
  <c r="U797" i="2"/>
  <c r="U798" i="2"/>
  <c r="U799" i="2"/>
  <c r="U800" i="2"/>
  <c r="U801" i="2"/>
  <c r="U802" i="2"/>
  <c r="U803" i="2"/>
  <c r="U804" i="2"/>
  <c r="U805" i="2"/>
  <c r="U806" i="2"/>
  <c r="U807" i="2"/>
  <c r="U808" i="2"/>
  <c r="U809" i="2"/>
  <c r="U810" i="2"/>
  <c r="U811" i="2"/>
  <c r="U812" i="2"/>
  <c r="U813" i="2"/>
  <c r="U814" i="2"/>
  <c r="U815" i="2"/>
  <c r="U816" i="2"/>
  <c r="U817" i="2"/>
  <c r="U818" i="2"/>
  <c r="U819" i="2"/>
  <c r="U820" i="2"/>
  <c r="U821" i="2"/>
  <c r="U822" i="2"/>
  <c r="U823" i="2"/>
  <c r="U824" i="2"/>
  <c r="U825" i="2"/>
  <c r="U826" i="2"/>
  <c r="U827" i="2"/>
  <c r="U828" i="2"/>
  <c r="U829" i="2"/>
  <c r="U830" i="2"/>
  <c r="U831" i="2"/>
  <c r="U832" i="2"/>
  <c r="U833" i="2"/>
  <c r="U834" i="2"/>
  <c r="U835" i="2"/>
  <c r="U836" i="2"/>
  <c r="U837" i="2"/>
  <c r="U838" i="2"/>
  <c r="U839" i="2"/>
  <c r="U840" i="2"/>
  <c r="U841" i="2"/>
  <c r="U842" i="2"/>
  <c r="U843" i="2"/>
  <c r="U844" i="2"/>
  <c r="U845" i="2"/>
  <c r="U846" i="2"/>
  <c r="U847" i="2"/>
  <c r="U848" i="2"/>
  <c r="U849" i="2"/>
  <c r="U850" i="2"/>
  <c r="U851" i="2"/>
  <c r="U852" i="2"/>
  <c r="U853" i="2"/>
  <c r="U854" i="2"/>
  <c r="U855" i="2"/>
  <c r="U856" i="2"/>
  <c r="U857" i="2"/>
  <c r="U858" i="2"/>
  <c r="U859" i="2"/>
  <c r="U860" i="2"/>
  <c r="U861" i="2"/>
  <c r="U862" i="2"/>
  <c r="U863" i="2"/>
  <c r="U864" i="2"/>
  <c r="U865" i="2"/>
  <c r="U866" i="2"/>
  <c r="U867" i="2"/>
  <c r="U868" i="2"/>
  <c r="U869" i="2"/>
  <c r="U870" i="2"/>
  <c r="U871" i="2"/>
  <c r="U872" i="2"/>
  <c r="U873" i="2"/>
  <c r="U874" i="2"/>
  <c r="U875" i="2"/>
  <c r="U876" i="2"/>
  <c r="U877" i="2"/>
  <c r="U878" i="2"/>
  <c r="U879" i="2"/>
  <c r="U880" i="2"/>
  <c r="U881" i="2"/>
  <c r="U882" i="2"/>
  <c r="U883" i="2"/>
  <c r="U884" i="2"/>
  <c r="U885" i="2"/>
  <c r="U886" i="2"/>
  <c r="U887" i="2"/>
  <c r="U888" i="2"/>
  <c r="U889" i="2"/>
  <c r="U890" i="2"/>
  <c r="U891" i="2"/>
  <c r="U892" i="2"/>
  <c r="U893" i="2"/>
  <c r="U894" i="2"/>
  <c r="U895" i="2"/>
  <c r="U896" i="2"/>
  <c r="U897" i="2"/>
  <c r="U898" i="2"/>
  <c r="U899" i="2"/>
  <c r="U900" i="2"/>
  <c r="U901" i="2"/>
  <c r="U902" i="2"/>
  <c r="U903" i="2"/>
  <c r="U904" i="2"/>
  <c r="U905" i="2"/>
  <c r="U906" i="2"/>
  <c r="U907" i="2"/>
  <c r="U908" i="2"/>
  <c r="U909" i="2"/>
  <c r="U910" i="2"/>
  <c r="U911" i="2"/>
  <c r="U912" i="2"/>
  <c r="U913" i="2"/>
  <c r="U914" i="2"/>
  <c r="U915" i="2"/>
  <c r="U916" i="2"/>
  <c r="U917" i="2"/>
  <c r="U918" i="2"/>
  <c r="U919" i="2"/>
  <c r="U920" i="2"/>
  <c r="U921" i="2"/>
  <c r="U922" i="2"/>
  <c r="U923" i="2"/>
  <c r="U924" i="2"/>
  <c r="U925" i="2"/>
  <c r="U926" i="2"/>
  <c r="U927" i="2"/>
  <c r="U928" i="2"/>
  <c r="U929" i="2"/>
  <c r="U930" i="2"/>
  <c r="U931" i="2"/>
  <c r="U932" i="2"/>
  <c r="U933" i="2"/>
  <c r="U934" i="2"/>
  <c r="U935" i="2"/>
  <c r="U936" i="2"/>
  <c r="U937" i="2"/>
  <c r="U938" i="2"/>
  <c r="U939" i="2"/>
  <c r="U940" i="2"/>
  <c r="U941" i="2"/>
  <c r="U942" i="2"/>
  <c r="U943" i="2"/>
  <c r="U944" i="2"/>
  <c r="U945" i="2"/>
  <c r="U946" i="2"/>
  <c r="U947" i="2"/>
  <c r="U948" i="2"/>
  <c r="U949" i="2"/>
  <c r="U950" i="2"/>
  <c r="U951" i="2"/>
  <c r="U952" i="2"/>
  <c r="U953" i="2"/>
  <c r="U954" i="2"/>
  <c r="U955" i="2"/>
  <c r="U956" i="2"/>
  <c r="U957" i="2"/>
  <c r="U958" i="2"/>
  <c r="U959" i="2"/>
  <c r="U960" i="2"/>
  <c r="U961" i="2"/>
  <c r="U962" i="2"/>
  <c r="U963" i="2"/>
  <c r="U964" i="2"/>
  <c r="U965" i="2"/>
  <c r="U966" i="2"/>
  <c r="U967" i="2"/>
  <c r="U968" i="2"/>
  <c r="U969" i="2"/>
  <c r="U970" i="2"/>
  <c r="U971" i="2"/>
  <c r="U972" i="2"/>
  <c r="U973" i="2"/>
  <c r="U974" i="2"/>
  <c r="U975" i="2"/>
  <c r="U976" i="2"/>
  <c r="U977" i="2"/>
  <c r="U978" i="2"/>
  <c r="U979" i="2"/>
  <c r="U980" i="2"/>
  <c r="U981" i="2"/>
  <c r="U982" i="2"/>
  <c r="U983" i="2"/>
  <c r="U984" i="2"/>
  <c r="U985" i="2"/>
  <c r="U986" i="2"/>
  <c r="U987" i="2"/>
  <c r="U988" i="2"/>
  <c r="U989" i="2"/>
  <c r="U990" i="2"/>
  <c r="U991" i="2"/>
  <c r="U992" i="2"/>
  <c r="U993" i="2"/>
  <c r="U994" i="2"/>
  <c r="U995" i="2"/>
  <c r="U996" i="2"/>
  <c r="U997" i="2"/>
  <c r="U998" i="2"/>
  <c r="U999" i="2"/>
  <c r="U1000" i="2"/>
  <c r="U1001" i="2"/>
  <c r="T2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8" i="2"/>
  <c r="T209" i="2"/>
  <c r="T210" i="2"/>
  <c r="T211" i="2"/>
  <c r="T212" i="2"/>
  <c r="T213" i="2"/>
  <c r="T214" i="2"/>
  <c r="T215" i="2"/>
  <c r="T216" i="2"/>
  <c r="T217" i="2"/>
  <c r="T218" i="2"/>
  <c r="T219" i="2"/>
  <c r="T220" i="2"/>
  <c r="T221" i="2"/>
  <c r="T222" i="2"/>
  <c r="T223" i="2"/>
  <c r="T224" i="2"/>
  <c r="T225" i="2"/>
  <c r="T226" i="2"/>
  <c r="T227" i="2"/>
  <c r="T228" i="2"/>
  <c r="T229" i="2"/>
  <c r="T230" i="2"/>
  <c r="T231" i="2"/>
  <c r="T232" i="2"/>
  <c r="T233" i="2"/>
  <c r="T234" i="2"/>
  <c r="T235" i="2"/>
  <c r="T236" i="2"/>
  <c r="T237" i="2"/>
  <c r="T238" i="2"/>
  <c r="T239" i="2"/>
  <c r="T240" i="2"/>
  <c r="T241" i="2"/>
  <c r="T242" i="2"/>
  <c r="T243" i="2"/>
  <c r="T244" i="2"/>
  <c r="T245" i="2"/>
  <c r="T246" i="2"/>
  <c r="T247" i="2"/>
  <c r="T248" i="2"/>
  <c r="T249" i="2"/>
  <c r="T250" i="2"/>
  <c r="T251" i="2"/>
  <c r="T252" i="2"/>
  <c r="T253" i="2"/>
  <c r="T254" i="2"/>
  <c r="T255" i="2"/>
  <c r="T256" i="2"/>
  <c r="T257" i="2"/>
  <c r="T258" i="2"/>
  <c r="T259" i="2"/>
  <c r="T260" i="2"/>
  <c r="T261" i="2"/>
  <c r="T262" i="2"/>
  <c r="T263" i="2"/>
  <c r="T264" i="2"/>
  <c r="T265" i="2"/>
  <c r="T266" i="2"/>
  <c r="T267" i="2"/>
  <c r="T268" i="2"/>
  <c r="T269" i="2"/>
  <c r="T270" i="2"/>
  <c r="T271" i="2"/>
  <c r="T272" i="2"/>
  <c r="T273" i="2"/>
  <c r="T274" i="2"/>
  <c r="T275" i="2"/>
  <c r="T276" i="2"/>
  <c r="T277" i="2"/>
  <c r="T278" i="2"/>
  <c r="T279" i="2"/>
  <c r="T280" i="2"/>
  <c r="T281" i="2"/>
  <c r="T282" i="2"/>
  <c r="T283" i="2"/>
  <c r="T284" i="2"/>
  <c r="T285" i="2"/>
  <c r="T286" i="2"/>
  <c r="T287" i="2"/>
  <c r="T288" i="2"/>
  <c r="T289" i="2"/>
  <c r="T290" i="2"/>
  <c r="T291" i="2"/>
  <c r="T292" i="2"/>
  <c r="T293" i="2"/>
  <c r="T294" i="2"/>
  <c r="T295" i="2"/>
  <c r="T296" i="2"/>
  <c r="T297" i="2"/>
  <c r="T298" i="2"/>
  <c r="T299" i="2"/>
  <c r="T300" i="2"/>
  <c r="T301" i="2"/>
  <c r="T302" i="2"/>
  <c r="T303" i="2"/>
  <c r="T304" i="2"/>
  <c r="T305" i="2"/>
  <c r="T306" i="2"/>
  <c r="T307" i="2"/>
  <c r="T308" i="2"/>
  <c r="T309" i="2"/>
  <c r="T310" i="2"/>
  <c r="T311" i="2"/>
  <c r="T312" i="2"/>
  <c r="T313" i="2"/>
  <c r="T314" i="2"/>
  <c r="T315" i="2"/>
  <c r="T316" i="2"/>
  <c r="T317" i="2"/>
  <c r="T318" i="2"/>
  <c r="T319" i="2"/>
  <c r="T320" i="2"/>
  <c r="T321" i="2"/>
  <c r="T322" i="2"/>
  <c r="T323" i="2"/>
  <c r="T324" i="2"/>
  <c r="T325" i="2"/>
  <c r="T326" i="2"/>
  <c r="T327" i="2"/>
  <c r="T328" i="2"/>
  <c r="T329" i="2"/>
  <c r="T330" i="2"/>
  <c r="T331" i="2"/>
  <c r="T332" i="2"/>
  <c r="T333" i="2"/>
  <c r="T334" i="2"/>
  <c r="T335" i="2"/>
  <c r="T336" i="2"/>
  <c r="T337" i="2"/>
  <c r="T338" i="2"/>
  <c r="T339" i="2"/>
  <c r="T340" i="2"/>
  <c r="T341" i="2"/>
  <c r="T342" i="2"/>
  <c r="T343" i="2"/>
  <c r="T344" i="2"/>
  <c r="T345" i="2"/>
  <c r="T346" i="2"/>
  <c r="T347" i="2"/>
  <c r="T348" i="2"/>
  <c r="T349" i="2"/>
  <c r="T350" i="2"/>
  <c r="T351" i="2"/>
  <c r="T352" i="2"/>
  <c r="T353" i="2"/>
  <c r="T354" i="2"/>
  <c r="T355" i="2"/>
  <c r="T356" i="2"/>
  <c r="T357" i="2"/>
  <c r="T358" i="2"/>
  <c r="T359" i="2"/>
  <c r="T360" i="2"/>
  <c r="T361" i="2"/>
  <c r="T362" i="2"/>
  <c r="T363" i="2"/>
  <c r="T364" i="2"/>
  <c r="T365" i="2"/>
  <c r="T366" i="2"/>
  <c r="T367" i="2"/>
  <c r="T368" i="2"/>
  <c r="T369" i="2"/>
  <c r="T370" i="2"/>
  <c r="T371" i="2"/>
  <c r="T372" i="2"/>
  <c r="T373" i="2"/>
  <c r="T374" i="2"/>
  <c r="T375" i="2"/>
  <c r="T376" i="2"/>
  <c r="T377" i="2"/>
  <c r="T378" i="2"/>
  <c r="T379" i="2"/>
  <c r="T380" i="2"/>
  <c r="T381" i="2"/>
  <c r="T382" i="2"/>
  <c r="T383" i="2"/>
  <c r="T384" i="2"/>
  <c r="T385" i="2"/>
  <c r="T386" i="2"/>
  <c r="T387" i="2"/>
  <c r="T388" i="2"/>
  <c r="T389" i="2"/>
  <c r="T390" i="2"/>
  <c r="T391" i="2"/>
  <c r="T392" i="2"/>
  <c r="T393" i="2"/>
  <c r="T394" i="2"/>
  <c r="T395" i="2"/>
  <c r="T396" i="2"/>
  <c r="T397" i="2"/>
  <c r="T398" i="2"/>
  <c r="T399" i="2"/>
  <c r="T400" i="2"/>
  <c r="T401" i="2"/>
  <c r="T402" i="2"/>
  <c r="T403" i="2"/>
  <c r="T404" i="2"/>
  <c r="T405" i="2"/>
  <c r="T406" i="2"/>
  <c r="T407" i="2"/>
  <c r="T408" i="2"/>
  <c r="T409" i="2"/>
  <c r="T410" i="2"/>
  <c r="T411" i="2"/>
  <c r="T412" i="2"/>
  <c r="T413" i="2"/>
  <c r="T414" i="2"/>
  <c r="T415" i="2"/>
  <c r="T416" i="2"/>
  <c r="T417" i="2"/>
  <c r="T418" i="2"/>
  <c r="T419" i="2"/>
  <c r="T420" i="2"/>
  <c r="T421" i="2"/>
  <c r="T422" i="2"/>
  <c r="T423" i="2"/>
  <c r="T424" i="2"/>
  <c r="T425" i="2"/>
  <c r="T426" i="2"/>
  <c r="T427" i="2"/>
  <c r="T428" i="2"/>
  <c r="T429" i="2"/>
  <c r="T430" i="2"/>
  <c r="T431" i="2"/>
  <c r="T432" i="2"/>
  <c r="T433" i="2"/>
  <c r="T434" i="2"/>
  <c r="T435" i="2"/>
  <c r="T436" i="2"/>
  <c r="T437" i="2"/>
  <c r="T438" i="2"/>
  <c r="T439" i="2"/>
  <c r="T440" i="2"/>
  <c r="T441" i="2"/>
  <c r="T442" i="2"/>
  <c r="T443" i="2"/>
  <c r="T444" i="2"/>
  <c r="T445" i="2"/>
  <c r="T446" i="2"/>
  <c r="T447" i="2"/>
  <c r="T448" i="2"/>
  <c r="T449" i="2"/>
  <c r="T450" i="2"/>
  <c r="T451" i="2"/>
  <c r="T452" i="2"/>
  <c r="T453" i="2"/>
  <c r="T454" i="2"/>
  <c r="T455" i="2"/>
  <c r="T456" i="2"/>
  <c r="T457" i="2"/>
  <c r="T458" i="2"/>
  <c r="T459" i="2"/>
  <c r="T460" i="2"/>
  <c r="T461" i="2"/>
  <c r="T462" i="2"/>
  <c r="T463" i="2"/>
  <c r="T464" i="2"/>
  <c r="T465" i="2"/>
  <c r="T466" i="2"/>
  <c r="T467" i="2"/>
  <c r="T468" i="2"/>
  <c r="T469" i="2"/>
  <c r="T470" i="2"/>
  <c r="T471" i="2"/>
  <c r="T472" i="2"/>
  <c r="T473" i="2"/>
  <c r="T474" i="2"/>
  <c r="T475" i="2"/>
  <c r="T476" i="2"/>
  <c r="T477" i="2"/>
  <c r="T478" i="2"/>
  <c r="T479" i="2"/>
  <c r="T480" i="2"/>
  <c r="T481" i="2"/>
  <c r="T482" i="2"/>
  <c r="T483" i="2"/>
  <c r="T484" i="2"/>
  <c r="T485" i="2"/>
  <c r="T486" i="2"/>
  <c r="T487" i="2"/>
  <c r="T488" i="2"/>
  <c r="T489" i="2"/>
  <c r="T490" i="2"/>
  <c r="T491" i="2"/>
  <c r="T492" i="2"/>
  <c r="T493" i="2"/>
  <c r="T494" i="2"/>
  <c r="T495" i="2"/>
  <c r="T496" i="2"/>
  <c r="T497" i="2"/>
  <c r="T498" i="2"/>
  <c r="T499" i="2"/>
  <c r="T500" i="2"/>
  <c r="T501" i="2"/>
  <c r="T502" i="2"/>
  <c r="T503" i="2"/>
  <c r="T504" i="2"/>
  <c r="T505" i="2"/>
  <c r="T506" i="2"/>
  <c r="T507" i="2"/>
  <c r="T508" i="2"/>
  <c r="T509" i="2"/>
  <c r="T510" i="2"/>
  <c r="T511" i="2"/>
  <c r="T512" i="2"/>
  <c r="T513" i="2"/>
  <c r="T514" i="2"/>
  <c r="T515" i="2"/>
  <c r="T516" i="2"/>
  <c r="T517" i="2"/>
  <c r="T518" i="2"/>
  <c r="T519" i="2"/>
  <c r="T520" i="2"/>
  <c r="T521" i="2"/>
  <c r="T522" i="2"/>
  <c r="T523" i="2"/>
  <c r="T524" i="2"/>
  <c r="T525" i="2"/>
  <c r="T526" i="2"/>
  <c r="T527" i="2"/>
  <c r="T528" i="2"/>
  <c r="T529" i="2"/>
  <c r="T530" i="2"/>
  <c r="T531" i="2"/>
  <c r="T532" i="2"/>
  <c r="T533" i="2"/>
  <c r="T534" i="2"/>
  <c r="T535" i="2"/>
  <c r="T536" i="2"/>
  <c r="T537" i="2"/>
  <c r="T538" i="2"/>
  <c r="T539" i="2"/>
  <c r="T540" i="2"/>
  <c r="T541" i="2"/>
  <c r="T542" i="2"/>
  <c r="T543" i="2"/>
  <c r="T544" i="2"/>
  <c r="T545" i="2"/>
  <c r="T546" i="2"/>
  <c r="T547" i="2"/>
  <c r="T548" i="2"/>
  <c r="T549" i="2"/>
  <c r="T550" i="2"/>
  <c r="T551" i="2"/>
  <c r="T552" i="2"/>
  <c r="T553" i="2"/>
  <c r="T554" i="2"/>
  <c r="T555" i="2"/>
  <c r="T556" i="2"/>
  <c r="T557" i="2"/>
  <c r="T558" i="2"/>
  <c r="T559" i="2"/>
  <c r="T560" i="2"/>
  <c r="T561" i="2"/>
  <c r="T562" i="2"/>
  <c r="T563" i="2"/>
  <c r="T564" i="2"/>
  <c r="T565" i="2"/>
  <c r="T566" i="2"/>
  <c r="T567" i="2"/>
  <c r="T568" i="2"/>
  <c r="T569" i="2"/>
  <c r="T570" i="2"/>
  <c r="T571" i="2"/>
  <c r="T572" i="2"/>
  <c r="T573" i="2"/>
  <c r="T574" i="2"/>
  <c r="T575" i="2"/>
  <c r="T576" i="2"/>
  <c r="T577" i="2"/>
  <c r="T578" i="2"/>
  <c r="T579" i="2"/>
  <c r="T580" i="2"/>
  <c r="T581" i="2"/>
  <c r="T582" i="2"/>
  <c r="T583" i="2"/>
  <c r="T584" i="2"/>
  <c r="T585" i="2"/>
  <c r="T586" i="2"/>
  <c r="T587" i="2"/>
  <c r="T588" i="2"/>
  <c r="T589" i="2"/>
  <c r="T590" i="2"/>
  <c r="T591" i="2"/>
  <c r="T592" i="2"/>
  <c r="T593" i="2"/>
  <c r="T594" i="2"/>
  <c r="T595" i="2"/>
  <c r="T596" i="2"/>
  <c r="T597" i="2"/>
  <c r="T598" i="2"/>
  <c r="T599" i="2"/>
  <c r="T600" i="2"/>
  <c r="T601" i="2"/>
  <c r="T602" i="2"/>
  <c r="T603" i="2"/>
  <c r="T604" i="2"/>
  <c r="T605" i="2"/>
  <c r="T606" i="2"/>
  <c r="T607" i="2"/>
  <c r="T608" i="2"/>
  <c r="T609" i="2"/>
  <c r="T610" i="2"/>
  <c r="T611" i="2"/>
  <c r="T612" i="2"/>
  <c r="T613" i="2"/>
  <c r="T614" i="2"/>
  <c r="T615" i="2"/>
  <c r="T616" i="2"/>
  <c r="T617" i="2"/>
  <c r="T618" i="2"/>
  <c r="T619" i="2"/>
  <c r="T620" i="2"/>
  <c r="T621" i="2"/>
  <c r="T622" i="2"/>
  <c r="T623" i="2"/>
  <c r="T624" i="2"/>
  <c r="T625" i="2"/>
  <c r="T626" i="2"/>
  <c r="T627" i="2"/>
  <c r="T628" i="2"/>
  <c r="T629" i="2"/>
  <c r="T630" i="2"/>
  <c r="T631" i="2"/>
  <c r="T632" i="2"/>
  <c r="T633" i="2"/>
  <c r="T634" i="2"/>
  <c r="T635" i="2"/>
  <c r="T636" i="2"/>
  <c r="T637" i="2"/>
  <c r="T638" i="2"/>
  <c r="T639" i="2"/>
  <c r="T640" i="2"/>
  <c r="T641" i="2"/>
  <c r="T642" i="2"/>
  <c r="T643" i="2"/>
  <c r="T644" i="2"/>
  <c r="T645" i="2"/>
  <c r="T646" i="2"/>
  <c r="T647" i="2"/>
  <c r="T648" i="2"/>
  <c r="T649" i="2"/>
  <c r="T650" i="2"/>
  <c r="T651" i="2"/>
  <c r="T652" i="2"/>
  <c r="T653" i="2"/>
  <c r="T654" i="2"/>
  <c r="T655" i="2"/>
  <c r="T656" i="2"/>
  <c r="T657" i="2"/>
  <c r="T658" i="2"/>
  <c r="T659" i="2"/>
  <c r="T660" i="2"/>
  <c r="T661" i="2"/>
  <c r="T662" i="2"/>
  <c r="T663" i="2"/>
  <c r="T664" i="2"/>
  <c r="T665" i="2"/>
  <c r="T666" i="2"/>
  <c r="T667" i="2"/>
  <c r="T668" i="2"/>
  <c r="T669" i="2"/>
  <c r="T670" i="2"/>
  <c r="T671" i="2"/>
  <c r="T672" i="2"/>
  <c r="T673" i="2"/>
  <c r="T674" i="2"/>
  <c r="T675" i="2"/>
  <c r="T676" i="2"/>
  <c r="T677" i="2"/>
  <c r="T678" i="2"/>
  <c r="T679" i="2"/>
  <c r="T680" i="2"/>
  <c r="T681" i="2"/>
  <c r="T682" i="2"/>
  <c r="T683" i="2"/>
  <c r="T684" i="2"/>
  <c r="T685" i="2"/>
  <c r="T686" i="2"/>
  <c r="T687" i="2"/>
  <c r="T688" i="2"/>
  <c r="T689" i="2"/>
  <c r="T690" i="2"/>
  <c r="T691" i="2"/>
  <c r="T692" i="2"/>
  <c r="T693" i="2"/>
  <c r="T694" i="2"/>
  <c r="T695" i="2"/>
  <c r="T696" i="2"/>
  <c r="T697" i="2"/>
  <c r="T698" i="2"/>
  <c r="T699" i="2"/>
  <c r="T700" i="2"/>
  <c r="T701" i="2"/>
  <c r="T702" i="2"/>
  <c r="T703" i="2"/>
  <c r="T704" i="2"/>
  <c r="T705" i="2"/>
  <c r="T706" i="2"/>
  <c r="T707" i="2"/>
  <c r="T708" i="2"/>
  <c r="T709" i="2"/>
  <c r="T710" i="2"/>
  <c r="T711" i="2"/>
  <c r="T712" i="2"/>
  <c r="T713" i="2"/>
  <c r="T714" i="2"/>
  <c r="T715" i="2"/>
  <c r="T716" i="2"/>
  <c r="T717" i="2"/>
  <c r="T718" i="2"/>
  <c r="T719" i="2"/>
  <c r="T720" i="2"/>
  <c r="T721" i="2"/>
  <c r="T722" i="2"/>
  <c r="T723" i="2"/>
  <c r="T724" i="2"/>
  <c r="T725" i="2"/>
  <c r="T726" i="2"/>
  <c r="T727" i="2"/>
  <c r="T728" i="2"/>
  <c r="T729" i="2"/>
  <c r="T730" i="2"/>
  <c r="T731" i="2"/>
  <c r="T732" i="2"/>
  <c r="T733" i="2"/>
  <c r="T734" i="2"/>
  <c r="T735" i="2"/>
  <c r="T736" i="2"/>
  <c r="T737" i="2"/>
  <c r="T738" i="2"/>
  <c r="T739" i="2"/>
  <c r="T740" i="2"/>
  <c r="T741" i="2"/>
  <c r="T742" i="2"/>
  <c r="T743" i="2"/>
  <c r="T744" i="2"/>
  <c r="T745" i="2"/>
  <c r="T746" i="2"/>
  <c r="T747" i="2"/>
  <c r="T748" i="2"/>
  <c r="T749" i="2"/>
  <c r="T750" i="2"/>
  <c r="T751" i="2"/>
  <c r="T752" i="2"/>
  <c r="T753" i="2"/>
  <c r="T754" i="2"/>
  <c r="T755" i="2"/>
  <c r="T756" i="2"/>
  <c r="T757" i="2"/>
  <c r="T758" i="2"/>
  <c r="T759" i="2"/>
  <c r="T760" i="2"/>
  <c r="T761" i="2"/>
  <c r="T762" i="2"/>
  <c r="T763" i="2"/>
  <c r="T764" i="2"/>
  <c r="T765" i="2"/>
  <c r="T766" i="2"/>
  <c r="T767" i="2"/>
  <c r="T768" i="2"/>
  <c r="T769" i="2"/>
  <c r="T770" i="2"/>
  <c r="T771" i="2"/>
  <c r="T772" i="2"/>
  <c r="T773" i="2"/>
  <c r="T774" i="2"/>
  <c r="T775" i="2"/>
  <c r="T776" i="2"/>
  <c r="T777" i="2"/>
  <c r="T778" i="2"/>
  <c r="T779" i="2"/>
  <c r="T780" i="2"/>
  <c r="T781" i="2"/>
  <c r="T782" i="2"/>
  <c r="T783" i="2"/>
  <c r="T784" i="2"/>
  <c r="T785" i="2"/>
  <c r="T786" i="2"/>
  <c r="T787" i="2"/>
  <c r="T788" i="2"/>
  <c r="T789" i="2"/>
  <c r="T790" i="2"/>
  <c r="T791" i="2"/>
  <c r="T792" i="2"/>
  <c r="T793" i="2"/>
  <c r="T794" i="2"/>
  <c r="T795" i="2"/>
  <c r="T796" i="2"/>
  <c r="T797" i="2"/>
  <c r="T798" i="2"/>
  <c r="T799" i="2"/>
  <c r="T800" i="2"/>
  <c r="T801" i="2"/>
  <c r="T802" i="2"/>
  <c r="T803" i="2"/>
  <c r="T804" i="2"/>
  <c r="T805" i="2"/>
  <c r="T806" i="2"/>
  <c r="T807" i="2"/>
  <c r="T808" i="2"/>
  <c r="T809" i="2"/>
  <c r="T810" i="2"/>
  <c r="T811" i="2"/>
  <c r="T812" i="2"/>
  <c r="T813" i="2"/>
  <c r="T814" i="2"/>
  <c r="T815" i="2"/>
  <c r="T816" i="2"/>
  <c r="T817" i="2"/>
  <c r="T818" i="2"/>
  <c r="T819" i="2"/>
  <c r="T820" i="2"/>
  <c r="T821" i="2"/>
  <c r="T822" i="2"/>
  <c r="T823" i="2"/>
  <c r="T824" i="2"/>
  <c r="T825" i="2"/>
  <c r="T826" i="2"/>
  <c r="T827" i="2"/>
  <c r="T828" i="2"/>
  <c r="T829" i="2"/>
  <c r="T830" i="2"/>
  <c r="T831" i="2"/>
  <c r="T832" i="2"/>
  <c r="T833" i="2"/>
  <c r="T834" i="2"/>
  <c r="T835" i="2"/>
  <c r="T836" i="2"/>
  <c r="T837" i="2"/>
  <c r="T838" i="2"/>
  <c r="T839" i="2"/>
  <c r="T840" i="2"/>
  <c r="T841" i="2"/>
  <c r="T842" i="2"/>
  <c r="T843" i="2"/>
  <c r="T844" i="2"/>
  <c r="T845" i="2"/>
  <c r="T846" i="2"/>
  <c r="T847" i="2"/>
  <c r="T848" i="2"/>
  <c r="T849" i="2"/>
  <c r="T850" i="2"/>
  <c r="T851" i="2"/>
  <c r="T852" i="2"/>
  <c r="T853" i="2"/>
  <c r="T854" i="2"/>
  <c r="T855" i="2"/>
  <c r="T856" i="2"/>
  <c r="T857" i="2"/>
  <c r="T858" i="2"/>
  <c r="T859" i="2"/>
  <c r="T860" i="2"/>
  <c r="T861" i="2"/>
  <c r="T862" i="2"/>
  <c r="T863" i="2"/>
  <c r="T864" i="2"/>
  <c r="T865" i="2"/>
  <c r="T866" i="2"/>
  <c r="T867" i="2"/>
  <c r="T868" i="2"/>
  <c r="T869" i="2"/>
  <c r="T870" i="2"/>
  <c r="T871" i="2"/>
  <c r="T872" i="2"/>
  <c r="T873" i="2"/>
  <c r="T874" i="2"/>
  <c r="T875" i="2"/>
  <c r="T876" i="2"/>
  <c r="T877" i="2"/>
  <c r="T878" i="2"/>
  <c r="T879" i="2"/>
  <c r="T880" i="2"/>
  <c r="T881" i="2"/>
  <c r="T882" i="2"/>
  <c r="T883" i="2"/>
  <c r="T884" i="2"/>
  <c r="T885" i="2"/>
  <c r="T886" i="2"/>
  <c r="T887" i="2"/>
  <c r="T888" i="2"/>
  <c r="T889" i="2"/>
  <c r="T890" i="2"/>
  <c r="T891" i="2"/>
  <c r="T892" i="2"/>
  <c r="T893" i="2"/>
  <c r="T894" i="2"/>
  <c r="T895" i="2"/>
  <c r="T896" i="2"/>
  <c r="T897" i="2"/>
  <c r="T898" i="2"/>
  <c r="T899" i="2"/>
  <c r="T900" i="2"/>
  <c r="T901" i="2"/>
  <c r="T902" i="2"/>
  <c r="T903" i="2"/>
  <c r="T904" i="2"/>
  <c r="T905" i="2"/>
  <c r="T906" i="2"/>
  <c r="T907" i="2"/>
  <c r="T908" i="2"/>
  <c r="T909" i="2"/>
  <c r="T910" i="2"/>
  <c r="T911" i="2"/>
  <c r="T912" i="2"/>
  <c r="T913" i="2"/>
  <c r="T914" i="2"/>
  <c r="T915" i="2"/>
  <c r="T916" i="2"/>
  <c r="T917" i="2"/>
  <c r="T918" i="2"/>
  <c r="T919" i="2"/>
  <c r="T920" i="2"/>
  <c r="T921" i="2"/>
  <c r="T922" i="2"/>
  <c r="T923" i="2"/>
  <c r="T924" i="2"/>
  <c r="T925" i="2"/>
  <c r="T926" i="2"/>
  <c r="T927" i="2"/>
  <c r="T928" i="2"/>
  <c r="T929" i="2"/>
  <c r="T930" i="2"/>
  <c r="T931" i="2"/>
  <c r="T932" i="2"/>
  <c r="T933" i="2"/>
  <c r="T934" i="2"/>
  <c r="T935" i="2"/>
  <c r="T936" i="2"/>
  <c r="T937" i="2"/>
  <c r="T938" i="2"/>
  <c r="T939" i="2"/>
  <c r="T940" i="2"/>
  <c r="T941" i="2"/>
  <c r="T942" i="2"/>
  <c r="T943" i="2"/>
  <c r="T944" i="2"/>
  <c r="T945" i="2"/>
  <c r="T946" i="2"/>
  <c r="T947" i="2"/>
  <c r="T948" i="2"/>
  <c r="T949" i="2"/>
  <c r="T950" i="2"/>
  <c r="T951" i="2"/>
  <c r="T952" i="2"/>
  <c r="T953" i="2"/>
  <c r="T954" i="2"/>
  <c r="T955" i="2"/>
  <c r="T956" i="2"/>
  <c r="T957" i="2"/>
  <c r="T958" i="2"/>
  <c r="T959" i="2"/>
  <c r="T960" i="2"/>
  <c r="T961" i="2"/>
  <c r="T962" i="2"/>
  <c r="T963" i="2"/>
  <c r="T964" i="2"/>
  <c r="T965" i="2"/>
  <c r="T966" i="2"/>
  <c r="T967" i="2"/>
  <c r="T968" i="2"/>
  <c r="T969" i="2"/>
  <c r="T970" i="2"/>
  <c r="T971" i="2"/>
  <c r="T972" i="2"/>
  <c r="T973" i="2"/>
  <c r="T974" i="2"/>
  <c r="T975" i="2"/>
  <c r="T976" i="2"/>
  <c r="T977" i="2"/>
  <c r="T978" i="2"/>
  <c r="T979" i="2"/>
  <c r="T980" i="2"/>
  <c r="T981" i="2"/>
  <c r="T982" i="2"/>
  <c r="T983" i="2"/>
  <c r="T984" i="2"/>
  <c r="T985" i="2"/>
  <c r="T986" i="2"/>
  <c r="T987" i="2"/>
  <c r="T988" i="2"/>
  <c r="T989" i="2"/>
  <c r="T990" i="2"/>
  <c r="T991" i="2"/>
  <c r="T992" i="2"/>
  <c r="T993" i="2"/>
  <c r="T994" i="2"/>
  <c r="T995" i="2"/>
  <c r="T996" i="2"/>
  <c r="T997" i="2"/>
  <c r="T998" i="2"/>
  <c r="T999" i="2"/>
  <c r="T1000" i="2"/>
  <c r="T1001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I1001" i="2"/>
  <c r="I1000" i="2"/>
  <c r="I999" i="2"/>
  <c r="I998" i="2"/>
  <c r="I997" i="2"/>
  <c r="I996" i="2"/>
  <c r="I995" i="2"/>
  <c r="I994" i="2"/>
  <c r="I993" i="2"/>
  <c r="I992" i="2"/>
  <c r="I991" i="2"/>
  <c r="I990" i="2"/>
  <c r="I989" i="2"/>
  <c r="I988" i="2"/>
  <c r="I987" i="2"/>
  <c r="I986" i="2"/>
  <c r="I985" i="2"/>
  <c r="I984" i="2"/>
  <c r="I983" i="2"/>
  <c r="I982" i="2"/>
  <c r="I981" i="2"/>
  <c r="I980" i="2"/>
  <c r="I979" i="2"/>
  <c r="I978" i="2"/>
  <c r="I977" i="2"/>
  <c r="I976" i="2"/>
  <c r="I975" i="2"/>
  <c r="I974" i="2"/>
  <c r="I973" i="2"/>
  <c r="I972" i="2"/>
  <c r="I971" i="2"/>
  <c r="I970" i="2"/>
  <c r="I969" i="2"/>
  <c r="I968" i="2"/>
  <c r="I967" i="2"/>
  <c r="I966" i="2"/>
  <c r="I965" i="2"/>
  <c r="I964" i="2"/>
  <c r="I963" i="2"/>
  <c r="I962" i="2"/>
  <c r="I961" i="2"/>
  <c r="I960" i="2"/>
  <c r="I959" i="2"/>
  <c r="I958" i="2"/>
  <c r="I957" i="2"/>
  <c r="I956" i="2"/>
  <c r="I955" i="2"/>
  <c r="I954" i="2"/>
  <c r="I953" i="2"/>
  <c r="I952" i="2"/>
  <c r="I951" i="2"/>
  <c r="I950" i="2"/>
  <c r="I949" i="2"/>
  <c r="I948" i="2"/>
  <c r="I947" i="2"/>
  <c r="I946" i="2"/>
  <c r="I945" i="2"/>
  <c r="I944" i="2"/>
  <c r="I943" i="2"/>
  <c r="I942" i="2"/>
  <c r="I941" i="2"/>
  <c r="I940" i="2"/>
  <c r="I939" i="2"/>
  <c r="I938" i="2"/>
  <c r="I937" i="2"/>
  <c r="I936" i="2"/>
  <c r="I935" i="2"/>
  <c r="I934" i="2"/>
  <c r="I933" i="2"/>
  <c r="I932" i="2"/>
  <c r="I931" i="2"/>
  <c r="I930" i="2"/>
  <c r="I929" i="2"/>
  <c r="I928" i="2"/>
  <c r="I927" i="2"/>
  <c r="I926" i="2"/>
  <c r="I925" i="2"/>
  <c r="I924" i="2"/>
  <c r="I923" i="2"/>
  <c r="I922" i="2"/>
  <c r="I921" i="2"/>
  <c r="I920" i="2"/>
  <c r="I919" i="2"/>
  <c r="I918" i="2"/>
  <c r="I917" i="2"/>
  <c r="I916" i="2"/>
  <c r="I915" i="2"/>
  <c r="I914" i="2"/>
  <c r="I913" i="2"/>
  <c r="I912" i="2"/>
  <c r="I911" i="2"/>
  <c r="I910" i="2"/>
  <c r="I909" i="2"/>
  <c r="I908" i="2"/>
  <c r="I907" i="2"/>
  <c r="I906" i="2"/>
  <c r="I905" i="2"/>
  <c r="I904" i="2"/>
  <c r="I903" i="2"/>
  <c r="I902" i="2"/>
  <c r="I901" i="2"/>
  <c r="I900" i="2"/>
  <c r="I899" i="2"/>
  <c r="I898" i="2"/>
  <c r="I897" i="2"/>
  <c r="I896" i="2"/>
  <c r="I895" i="2"/>
  <c r="I894" i="2"/>
  <c r="I893" i="2"/>
  <c r="I892" i="2"/>
  <c r="I891" i="2"/>
  <c r="I890" i="2"/>
  <c r="I889" i="2"/>
  <c r="I888" i="2"/>
  <c r="I887" i="2"/>
  <c r="I886" i="2"/>
  <c r="I885" i="2"/>
  <c r="I884" i="2"/>
  <c r="I883" i="2"/>
  <c r="I882" i="2"/>
  <c r="I881" i="2"/>
  <c r="I880" i="2"/>
  <c r="I879" i="2"/>
  <c r="I878" i="2"/>
  <c r="I877" i="2"/>
  <c r="I876" i="2"/>
  <c r="I875" i="2"/>
  <c r="I874" i="2"/>
  <c r="I873" i="2"/>
  <c r="I872" i="2"/>
  <c r="I871" i="2"/>
  <c r="I870" i="2"/>
  <c r="I869" i="2"/>
  <c r="I868" i="2"/>
  <c r="I867" i="2"/>
  <c r="I866" i="2"/>
  <c r="I865" i="2"/>
  <c r="I864" i="2"/>
  <c r="I863" i="2"/>
  <c r="I862" i="2"/>
  <c r="I861" i="2"/>
  <c r="I860" i="2"/>
  <c r="I859" i="2"/>
  <c r="I858" i="2"/>
  <c r="I857" i="2"/>
  <c r="I856" i="2"/>
  <c r="I855" i="2"/>
  <c r="I854" i="2"/>
  <c r="I853" i="2"/>
  <c r="I852" i="2"/>
  <c r="I851" i="2"/>
  <c r="I850" i="2"/>
  <c r="I849" i="2"/>
  <c r="I848" i="2"/>
  <c r="I847" i="2"/>
  <c r="I846" i="2"/>
  <c r="I845" i="2"/>
  <c r="I844" i="2"/>
  <c r="I843" i="2"/>
  <c r="I842" i="2"/>
  <c r="I841" i="2"/>
  <c r="I840" i="2"/>
  <c r="I839" i="2"/>
  <c r="I838" i="2"/>
  <c r="I837" i="2"/>
  <c r="I836" i="2"/>
  <c r="I835" i="2"/>
  <c r="I834" i="2"/>
  <c r="I833" i="2"/>
  <c r="I832" i="2"/>
  <c r="I831" i="2"/>
  <c r="I830" i="2"/>
  <c r="I829" i="2"/>
  <c r="I828" i="2"/>
  <c r="I827" i="2"/>
  <c r="I826" i="2"/>
  <c r="I825" i="2"/>
  <c r="I824" i="2"/>
  <c r="I823" i="2"/>
  <c r="I822" i="2"/>
  <c r="I821" i="2"/>
  <c r="I820" i="2"/>
  <c r="I819" i="2"/>
  <c r="I818" i="2"/>
  <c r="I817" i="2"/>
  <c r="I816" i="2"/>
  <c r="I815" i="2"/>
  <c r="I814" i="2"/>
  <c r="I813" i="2"/>
  <c r="I812" i="2"/>
  <c r="I811" i="2"/>
  <c r="I810" i="2"/>
  <c r="I809" i="2"/>
  <c r="I808" i="2"/>
  <c r="I807" i="2"/>
  <c r="I806" i="2"/>
  <c r="I805" i="2"/>
  <c r="I804" i="2"/>
  <c r="I803" i="2"/>
  <c r="I802" i="2"/>
  <c r="I801" i="2"/>
  <c r="I800" i="2"/>
  <c r="I799" i="2"/>
  <c r="I798" i="2"/>
  <c r="I797" i="2"/>
  <c r="I796" i="2"/>
  <c r="I795" i="2"/>
  <c r="I794" i="2"/>
  <c r="I793" i="2"/>
  <c r="I792" i="2"/>
  <c r="I791" i="2"/>
  <c r="I790" i="2"/>
  <c r="I789" i="2"/>
  <c r="I788" i="2"/>
  <c r="I787" i="2"/>
  <c r="I786" i="2"/>
  <c r="I785" i="2"/>
  <c r="I784" i="2"/>
  <c r="I783" i="2"/>
  <c r="I782" i="2"/>
  <c r="I781" i="2"/>
  <c r="I780" i="2"/>
  <c r="I779" i="2"/>
  <c r="I778" i="2"/>
  <c r="I777" i="2"/>
  <c r="I776" i="2"/>
  <c r="I775" i="2"/>
  <c r="I774" i="2"/>
  <c r="I773" i="2"/>
  <c r="I772" i="2"/>
  <c r="I771" i="2"/>
  <c r="I770" i="2"/>
  <c r="I769" i="2"/>
  <c r="I768" i="2"/>
  <c r="I767" i="2"/>
  <c r="I766" i="2"/>
  <c r="I765" i="2"/>
  <c r="I764" i="2"/>
  <c r="I763" i="2"/>
  <c r="I762" i="2"/>
  <c r="I761" i="2"/>
  <c r="I760" i="2"/>
  <c r="I759" i="2"/>
  <c r="I758" i="2"/>
  <c r="I757" i="2"/>
  <c r="I756" i="2"/>
  <c r="I755" i="2"/>
  <c r="I754" i="2"/>
  <c r="I753" i="2"/>
  <c r="I752" i="2"/>
  <c r="I751" i="2"/>
  <c r="I750" i="2"/>
  <c r="I749" i="2"/>
  <c r="I748" i="2"/>
  <c r="I747" i="2"/>
  <c r="I746" i="2"/>
  <c r="I745" i="2"/>
  <c r="I744" i="2"/>
  <c r="I743" i="2"/>
  <c r="I742" i="2"/>
  <c r="I741" i="2"/>
  <c r="I740" i="2"/>
  <c r="I739" i="2"/>
  <c r="I738" i="2"/>
  <c r="I737" i="2"/>
  <c r="I736" i="2"/>
  <c r="I735" i="2"/>
  <c r="I734" i="2"/>
  <c r="I733" i="2"/>
  <c r="I732" i="2"/>
  <c r="I731" i="2"/>
  <c r="I730" i="2"/>
  <c r="I729" i="2"/>
  <c r="I728" i="2"/>
  <c r="I727" i="2"/>
  <c r="I726" i="2"/>
  <c r="I725" i="2"/>
  <c r="I724" i="2"/>
  <c r="I723" i="2"/>
  <c r="I722" i="2"/>
  <c r="I721" i="2"/>
  <c r="I720" i="2"/>
  <c r="I719" i="2"/>
  <c r="I718" i="2"/>
  <c r="I717" i="2"/>
  <c r="I716" i="2"/>
  <c r="I715" i="2"/>
  <c r="I714" i="2"/>
  <c r="I713" i="2"/>
  <c r="I712" i="2"/>
  <c r="I711" i="2"/>
  <c r="I710" i="2"/>
  <c r="I709" i="2"/>
  <c r="I708" i="2"/>
  <c r="I707" i="2"/>
  <c r="I706" i="2"/>
  <c r="I705" i="2"/>
  <c r="I704" i="2"/>
  <c r="I703" i="2"/>
  <c r="I702" i="2"/>
  <c r="I701" i="2"/>
  <c r="I700" i="2"/>
  <c r="I699" i="2"/>
  <c r="I698" i="2"/>
  <c r="I697" i="2"/>
  <c r="I696" i="2"/>
  <c r="I695" i="2"/>
  <c r="I694" i="2"/>
  <c r="I693" i="2"/>
  <c r="I692" i="2"/>
  <c r="I691" i="2"/>
  <c r="I690" i="2"/>
  <c r="I689" i="2"/>
  <c r="I688" i="2"/>
  <c r="I687" i="2"/>
  <c r="I686" i="2"/>
  <c r="I685" i="2"/>
  <c r="I684" i="2"/>
  <c r="I683" i="2"/>
  <c r="I682" i="2"/>
  <c r="I681" i="2"/>
  <c r="I680" i="2"/>
  <c r="I679" i="2"/>
  <c r="I678" i="2"/>
  <c r="I677" i="2"/>
  <c r="I676" i="2"/>
  <c r="I675" i="2"/>
  <c r="I674" i="2"/>
  <c r="I673" i="2"/>
  <c r="I672" i="2"/>
  <c r="I671" i="2"/>
  <c r="I670" i="2"/>
  <c r="I669" i="2"/>
  <c r="I668" i="2"/>
  <c r="I667" i="2"/>
  <c r="I666" i="2"/>
  <c r="I665" i="2"/>
  <c r="I664" i="2"/>
  <c r="I663" i="2"/>
  <c r="I662" i="2"/>
  <c r="I661" i="2"/>
  <c r="I660" i="2"/>
  <c r="I659" i="2"/>
  <c r="I658" i="2"/>
  <c r="I657" i="2"/>
  <c r="I656" i="2"/>
  <c r="I655" i="2"/>
  <c r="I654" i="2"/>
  <c r="I653" i="2"/>
  <c r="I652" i="2"/>
  <c r="I651" i="2"/>
  <c r="I650" i="2"/>
  <c r="I649" i="2"/>
  <c r="I648" i="2"/>
  <c r="I647" i="2"/>
  <c r="I646" i="2"/>
  <c r="I645" i="2"/>
  <c r="I644" i="2"/>
  <c r="I643" i="2"/>
  <c r="I642" i="2"/>
  <c r="I641" i="2"/>
  <c r="I640" i="2"/>
  <c r="I639" i="2"/>
  <c r="I638" i="2"/>
  <c r="I637" i="2"/>
  <c r="I636" i="2"/>
  <c r="I635" i="2"/>
  <c r="I634" i="2"/>
  <c r="I633" i="2"/>
  <c r="I632" i="2"/>
  <c r="I631" i="2"/>
  <c r="I630" i="2"/>
  <c r="I629" i="2"/>
  <c r="I628" i="2"/>
  <c r="I627" i="2"/>
  <c r="I626" i="2"/>
  <c r="I625" i="2"/>
  <c r="I624" i="2"/>
  <c r="I623" i="2"/>
  <c r="I622" i="2"/>
  <c r="I621" i="2"/>
  <c r="I620" i="2"/>
  <c r="I619" i="2"/>
  <c r="I618" i="2"/>
  <c r="I617" i="2"/>
  <c r="I616" i="2"/>
  <c r="I615" i="2"/>
  <c r="I614" i="2"/>
  <c r="I613" i="2"/>
  <c r="I612" i="2"/>
  <c r="I611" i="2"/>
  <c r="I610" i="2"/>
  <c r="I609" i="2"/>
  <c r="I608" i="2"/>
  <c r="I607" i="2"/>
  <c r="I606" i="2"/>
  <c r="I605" i="2"/>
  <c r="I604" i="2"/>
  <c r="I603" i="2"/>
  <c r="I602" i="2"/>
  <c r="I601" i="2"/>
  <c r="I600" i="2"/>
  <c r="I599" i="2"/>
  <c r="I598" i="2"/>
  <c r="I597" i="2"/>
  <c r="I596" i="2"/>
  <c r="I595" i="2"/>
  <c r="I594" i="2"/>
  <c r="I593" i="2"/>
  <c r="I592" i="2"/>
  <c r="I591" i="2"/>
  <c r="I590" i="2"/>
  <c r="I589" i="2"/>
  <c r="I588" i="2"/>
  <c r="I587" i="2"/>
  <c r="I586" i="2"/>
  <c r="I585" i="2"/>
  <c r="I584" i="2"/>
  <c r="I583" i="2"/>
  <c r="I582" i="2"/>
  <c r="I581" i="2"/>
  <c r="I580" i="2"/>
  <c r="I579" i="2"/>
  <c r="I578" i="2"/>
  <c r="I577" i="2"/>
  <c r="I576" i="2"/>
  <c r="I575" i="2"/>
  <c r="I574" i="2"/>
  <c r="I573" i="2"/>
  <c r="I572" i="2"/>
  <c r="I571" i="2"/>
  <c r="I570" i="2"/>
  <c r="I569" i="2"/>
  <c r="I568" i="2"/>
  <c r="I567" i="2"/>
  <c r="I566" i="2"/>
  <c r="I565" i="2"/>
  <c r="I564" i="2"/>
  <c r="I563" i="2"/>
  <c r="I562" i="2"/>
  <c r="I561" i="2"/>
  <c r="I560" i="2"/>
  <c r="I559" i="2"/>
  <c r="I558" i="2"/>
  <c r="I557" i="2"/>
  <c r="I556" i="2"/>
  <c r="I555" i="2"/>
  <c r="I554" i="2"/>
  <c r="I553" i="2"/>
  <c r="I552" i="2"/>
  <c r="I551" i="2"/>
  <c r="I550" i="2"/>
  <c r="I549" i="2"/>
  <c r="I548" i="2"/>
  <c r="I547" i="2"/>
  <c r="I546" i="2"/>
  <c r="I545" i="2"/>
  <c r="I544" i="2"/>
  <c r="I543" i="2"/>
  <c r="I542" i="2"/>
  <c r="I541" i="2"/>
  <c r="I540" i="2"/>
  <c r="I539" i="2"/>
  <c r="I538" i="2"/>
  <c r="I537" i="2"/>
  <c r="I536" i="2"/>
  <c r="I535" i="2"/>
  <c r="I534" i="2"/>
  <c r="I533" i="2"/>
  <c r="I532" i="2"/>
  <c r="I531" i="2"/>
  <c r="I530" i="2"/>
  <c r="I529" i="2"/>
  <c r="I528" i="2"/>
  <c r="I527" i="2"/>
  <c r="I526" i="2"/>
  <c r="I525" i="2"/>
  <c r="I524" i="2"/>
  <c r="I523" i="2"/>
  <c r="I522" i="2"/>
  <c r="I521" i="2"/>
  <c r="I520" i="2"/>
  <c r="I519" i="2"/>
  <c r="I518" i="2"/>
  <c r="I517" i="2"/>
  <c r="I516" i="2"/>
  <c r="I515" i="2"/>
  <c r="I514" i="2"/>
  <c r="I513" i="2"/>
  <c r="I512" i="2"/>
  <c r="I511" i="2"/>
  <c r="I510" i="2"/>
  <c r="I509" i="2"/>
  <c r="I508" i="2"/>
  <c r="I507" i="2"/>
  <c r="I506" i="2"/>
  <c r="I505" i="2"/>
  <c r="I504" i="2"/>
  <c r="I503" i="2"/>
  <c r="I502" i="2"/>
  <c r="I501" i="2"/>
  <c r="I500" i="2"/>
  <c r="I499" i="2"/>
  <c r="I498" i="2"/>
  <c r="I497" i="2"/>
  <c r="I496" i="2"/>
  <c r="I495" i="2"/>
  <c r="I494" i="2"/>
  <c r="I493" i="2"/>
  <c r="I492" i="2"/>
  <c r="I491" i="2"/>
  <c r="I490" i="2"/>
  <c r="I489" i="2"/>
  <c r="I488" i="2"/>
  <c r="I487" i="2"/>
  <c r="I486" i="2"/>
  <c r="I485" i="2"/>
  <c r="I484" i="2"/>
  <c r="I483" i="2"/>
  <c r="I482" i="2"/>
  <c r="I481" i="2"/>
  <c r="I480" i="2"/>
  <c r="I479" i="2"/>
  <c r="I478" i="2"/>
  <c r="I477" i="2"/>
  <c r="I476" i="2"/>
  <c r="I475" i="2"/>
  <c r="I474" i="2"/>
  <c r="I473" i="2"/>
  <c r="I472" i="2"/>
  <c r="I471" i="2"/>
  <c r="I470" i="2"/>
  <c r="I469" i="2"/>
  <c r="I468" i="2"/>
  <c r="I467" i="2"/>
  <c r="I466" i="2"/>
  <c r="I465" i="2"/>
  <c r="I464" i="2"/>
  <c r="I463" i="2"/>
  <c r="I462" i="2"/>
  <c r="I461" i="2"/>
  <c r="I460" i="2"/>
  <c r="I459" i="2"/>
  <c r="I458" i="2"/>
  <c r="I457" i="2"/>
  <c r="I456" i="2"/>
  <c r="I455" i="2"/>
  <c r="I454" i="2"/>
  <c r="I453" i="2"/>
  <c r="I452" i="2"/>
  <c r="I451" i="2"/>
  <c r="I450" i="2"/>
  <c r="I449" i="2"/>
  <c r="I448" i="2"/>
  <c r="I447" i="2"/>
  <c r="I446" i="2"/>
  <c r="I445" i="2"/>
  <c r="I444" i="2"/>
  <c r="I443" i="2"/>
  <c r="I442" i="2"/>
  <c r="I441" i="2"/>
  <c r="I440" i="2"/>
  <c r="I439" i="2"/>
  <c r="I438" i="2"/>
  <c r="I437" i="2"/>
  <c r="I436" i="2"/>
  <c r="I435" i="2"/>
  <c r="I434" i="2"/>
  <c r="I433" i="2"/>
  <c r="I432" i="2"/>
  <c r="I431" i="2"/>
  <c r="I430" i="2"/>
  <c r="I429" i="2"/>
  <c r="I428" i="2"/>
  <c r="I427" i="2"/>
  <c r="I426" i="2"/>
  <c r="I425" i="2"/>
  <c r="I424" i="2"/>
  <c r="I423" i="2"/>
  <c r="I422" i="2"/>
  <c r="I421" i="2"/>
  <c r="I420" i="2"/>
  <c r="I419" i="2"/>
  <c r="I418" i="2"/>
  <c r="I417" i="2"/>
  <c r="I416" i="2"/>
  <c r="I415" i="2"/>
  <c r="I414" i="2"/>
  <c r="I413" i="2"/>
  <c r="I412" i="2"/>
  <c r="I411" i="2"/>
  <c r="I410" i="2"/>
  <c r="I409" i="2"/>
  <c r="I408" i="2"/>
  <c r="I407" i="2"/>
  <c r="I406" i="2"/>
  <c r="I405" i="2"/>
  <c r="I404" i="2"/>
  <c r="I403" i="2"/>
  <c r="I402" i="2"/>
  <c r="I401" i="2"/>
  <c r="I400" i="2"/>
  <c r="I399" i="2"/>
  <c r="I398" i="2"/>
  <c r="I397" i="2"/>
  <c r="I396" i="2"/>
  <c r="I395" i="2"/>
  <c r="I394" i="2"/>
  <c r="I393" i="2"/>
  <c r="I392" i="2"/>
  <c r="I391" i="2"/>
  <c r="I390" i="2"/>
  <c r="I389" i="2"/>
  <c r="I388" i="2"/>
  <c r="I387" i="2"/>
  <c r="I386" i="2"/>
  <c r="I385" i="2"/>
  <c r="I384" i="2"/>
  <c r="I383" i="2"/>
  <c r="I382" i="2"/>
  <c r="I381" i="2"/>
  <c r="I380" i="2"/>
  <c r="I379" i="2"/>
  <c r="I378" i="2"/>
  <c r="I377" i="2"/>
  <c r="I376" i="2"/>
  <c r="I375" i="2"/>
  <c r="I374" i="2"/>
  <c r="I373" i="2"/>
  <c r="I372" i="2"/>
  <c r="I371" i="2"/>
  <c r="I370" i="2"/>
  <c r="I369" i="2"/>
  <c r="I368" i="2"/>
  <c r="I367" i="2"/>
  <c r="I366" i="2"/>
  <c r="I365" i="2"/>
  <c r="I364" i="2"/>
  <c r="I363" i="2"/>
  <c r="I362" i="2"/>
  <c r="I361" i="2"/>
  <c r="I360" i="2"/>
  <c r="I359" i="2"/>
  <c r="I358" i="2"/>
  <c r="I357" i="2"/>
  <c r="I356" i="2"/>
  <c r="I355" i="2"/>
  <c r="I354" i="2"/>
  <c r="I353" i="2"/>
  <c r="I352" i="2"/>
  <c r="I351" i="2"/>
  <c r="I350" i="2"/>
  <c r="I349" i="2"/>
  <c r="I348" i="2"/>
  <c r="I347" i="2"/>
  <c r="I346" i="2"/>
  <c r="I345" i="2"/>
  <c r="I344" i="2"/>
  <c r="I343" i="2"/>
  <c r="I342" i="2"/>
  <c r="I341" i="2"/>
  <c r="I340" i="2"/>
  <c r="I339" i="2"/>
  <c r="I338" i="2"/>
  <c r="I337" i="2"/>
  <c r="I336" i="2"/>
  <c r="I335" i="2"/>
  <c r="I334" i="2"/>
  <c r="I333" i="2"/>
  <c r="I332" i="2"/>
  <c r="I331" i="2"/>
  <c r="I330" i="2"/>
  <c r="I329" i="2"/>
  <c r="I328" i="2"/>
  <c r="I327" i="2"/>
  <c r="I326" i="2"/>
  <c r="I325" i="2"/>
  <c r="I324" i="2"/>
  <c r="I323" i="2"/>
  <c r="I322" i="2"/>
  <c r="I321" i="2"/>
  <c r="I320" i="2"/>
  <c r="I319" i="2"/>
  <c r="I318" i="2"/>
  <c r="I317" i="2"/>
  <c r="I316" i="2"/>
  <c r="I315" i="2"/>
  <c r="I314" i="2"/>
  <c r="I313" i="2"/>
  <c r="I312" i="2"/>
  <c r="I311" i="2"/>
  <c r="I310" i="2"/>
  <c r="I309" i="2"/>
  <c r="I308" i="2"/>
  <c r="I307" i="2"/>
  <c r="I306" i="2"/>
  <c r="I305" i="2"/>
  <c r="I304" i="2"/>
  <c r="I303" i="2"/>
  <c r="I302" i="2"/>
  <c r="I301" i="2"/>
  <c r="I300" i="2"/>
  <c r="I299" i="2"/>
  <c r="I298" i="2"/>
  <c r="I297" i="2"/>
  <c r="I296" i="2"/>
  <c r="I295" i="2"/>
  <c r="I294" i="2"/>
  <c r="I293" i="2"/>
  <c r="I292" i="2"/>
  <c r="I291" i="2"/>
  <c r="I290" i="2"/>
  <c r="I289" i="2"/>
  <c r="I288" i="2"/>
  <c r="I287" i="2"/>
  <c r="I286" i="2"/>
  <c r="I285" i="2"/>
  <c r="I284" i="2"/>
  <c r="I283" i="2"/>
  <c r="I282" i="2"/>
  <c r="I281" i="2"/>
  <c r="I280" i="2"/>
  <c r="I279" i="2"/>
  <c r="I278" i="2"/>
  <c r="I277" i="2"/>
  <c r="I276" i="2"/>
  <c r="I275" i="2"/>
  <c r="I274" i="2"/>
  <c r="I273" i="2"/>
  <c r="I272" i="2"/>
  <c r="I271" i="2"/>
  <c r="I270" i="2"/>
  <c r="I269" i="2"/>
  <c r="I268" i="2"/>
  <c r="I267" i="2"/>
  <c r="I266" i="2"/>
  <c r="I265" i="2"/>
  <c r="I264" i="2"/>
  <c r="I263" i="2"/>
  <c r="I262" i="2"/>
  <c r="I261" i="2"/>
  <c r="I260" i="2"/>
  <c r="I259" i="2"/>
  <c r="I258" i="2"/>
  <c r="I257" i="2"/>
  <c r="I256" i="2"/>
  <c r="I255" i="2"/>
  <c r="I254" i="2"/>
  <c r="I253" i="2"/>
  <c r="I252" i="2"/>
  <c r="I251" i="2"/>
  <c r="I250" i="2"/>
  <c r="I249" i="2"/>
  <c r="I248" i="2"/>
  <c r="I247" i="2"/>
  <c r="I246" i="2"/>
  <c r="I245" i="2"/>
  <c r="I244" i="2"/>
  <c r="I243" i="2"/>
  <c r="I242" i="2"/>
  <c r="I241" i="2"/>
  <c r="I240" i="2"/>
  <c r="I239" i="2"/>
  <c r="I238" i="2"/>
  <c r="I237" i="2"/>
  <c r="I236" i="2"/>
  <c r="I235" i="2"/>
  <c r="I234" i="2"/>
  <c r="I233" i="2"/>
  <c r="I232" i="2"/>
  <c r="I231" i="2"/>
  <c r="I230" i="2"/>
  <c r="I229" i="2"/>
  <c r="I228" i="2"/>
  <c r="I227" i="2"/>
  <c r="I226" i="2"/>
  <c r="I225" i="2"/>
  <c r="I224" i="2"/>
  <c r="I223" i="2"/>
  <c r="I222" i="2"/>
  <c r="I221" i="2"/>
  <c r="I220" i="2"/>
  <c r="I219" i="2"/>
  <c r="I218" i="2"/>
  <c r="I217" i="2"/>
  <c r="I216" i="2"/>
  <c r="I215" i="2"/>
  <c r="I214" i="2"/>
  <c r="I213" i="2"/>
  <c r="I212" i="2"/>
  <c r="I211" i="2"/>
  <c r="I210" i="2"/>
  <c r="I209" i="2"/>
  <c r="I208" i="2"/>
  <c r="I207" i="2"/>
  <c r="I206" i="2"/>
  <c r="I205" i="2"/>
  <c r="I204" i="2"/>
  <c r="I203" i="2"/>
  <c r="I202" i="2"/>
  <c r="I201" i="2"/>
  <c r="I200" i="2"/>
  <c r="I199" i="2"/>
  <c r="I198" i="2"/>
  <c r="I197" i="2"/>
  <c r="I196" i="2"/>
  <c r="I195" i="2"/>
  <c r="I194" i="2"/>
  <c r="I193" i="2"/>
  <c r="I192" i="2"/>
  <c r="I191" i="2"/>
  <c r="I190" i="2"/>
  <c r="I189" i="2"/>
  <c r="I188" i="2"/>
  <c r="I187" i="2"/>
  <c r="I186" i="2"/>
  <c r="I185" i="2"/>
  <c r="I184" i="2"/>
  <c r="I183" i="2"/>
  <c r="I182" i="2"/>
  <c r="I181" i="2"/>
  <c r="I180" i="2"/>
  <c r="I179" i="2"/>
  <c r="I178" i="2"/>
  <c r="I177" i="2"/>
  <c r="I176" i="2"/>
  <c r="I175" i="2"/>
  <c r="I174" i="2"/>
  <c r="I173" i="2"/>
  <c r="I172" i="2"/>
  <c r="I171" i="2"/>
  <c r="I170" i="2"/>
  <c r="I169" i="2"/>
  <c r="I168" i="2"/>
  <c r="I167" i="2"/>
  <c r="I166" i="2"/>
  <c r="I165" i="2"/>
  <c r="I164" i="2"/>
  <c r="I163" i="2"/>
  <c r="I162" i="2"/>
  <c r="I161" i="2"/>
  <c r="I160" i="2"/>
  <c r="I159" i="2"/>
  <c r="I158" i="2"/>
  <c r="I157" i="2"/>
  <c r="I156" i="2"/>
  <c r="I155" i="2"/>
  <c r="I154" i="2"/>
  <c r="I153" i="2"/>
  <c r="I152" i="2"/>
  <c r="I151" i="2"/>
  <c r="I150" i="2"/>
  <c r="I149" i="2"/>
  <c r="I148" i="2"/>
  <c r="I147" i="2"/>
  <c r="I146" i="2"/>
  <c r="I145" i="2"/>
  <c r="I144" i="2"/>
  <c r="I143" i="2"/>
  <c r="I142" i="2"/>
  <c r="I141" i="2"/>
  <c r="I140" i="2"/>
  <c r="I139" i="2"/>
  <c r="I138" i="2"/>
  <c r="I137" i="2"/>
  <c r="I136" i="2"/>
  <c r="I135" i="2"/>
  <c r="I134" i="2"/>
  <c r="I133" i="2"/>
  <c r="I132" i="2"/>
  <c r="I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2" i="2"/>
</calcChain>
</file>

<file path=xl/sharedStrings.xml><?xml version="1.0" encoding="utf-8"?>
<sst xmlns="http://schemas.openxmlformats.org/spreadsheetml/2006/main" count="13180" uniqueCount="2121">
  <si>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</si>
  <si>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</si>
  <si>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</si>
  <si>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</si>
  <si>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</si>
  <si>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</si>
  <si>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</si>
  <si>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</si>
  <si>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</si>
  <si>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</si>
  <si>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</si>
  <si>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</si>
  <si>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</si>
  <si>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</si>
  <si>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</si>
  <si>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</si>
  <si>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</si>
  <si>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</si>
  <si>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</si>
  <si>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</si>
  <si>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</si>
  <si>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</si>
  <si>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</si>
  <si>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</si>
  <si>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</si>
  <si>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</si>
  <si>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</si>
  <si>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</si>
  <si>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</si>
  <si>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</si>
  <si>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</si>
  <si>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</si>
  <si>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</si>
  <si>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</si>
  <si>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</si>
  <si>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</si>
  <si>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</si>
  <si>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</si>
  <si>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</si>
  <si>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</si>
  <si>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</si>
  <si>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</si>
  <si>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</si>
  <si>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</si>
  <si>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</si>
  <si>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</si>
  <si>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</si>
  <si>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</si>
  <si>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</si>
  <si>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</si>
  <si>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</si>
  <si>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</si>
  <si>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</si>
  <si>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</si>
  <si>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</si>
  <si>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</si>
  <si>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</si>
  <si>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</si>
  <si>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</si>
  <si>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</si>
  <si>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</si>
  <si>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</si>
  <si>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</si>
  <si>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</si>
  <si>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</si>
  <si>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</si>
  <si>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</si>
  <si>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</si>
  <si>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</si>
  <si>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</si>
  <si>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</si>
  <si>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</si>
  <si>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</si>
  <si>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</si>
  <si>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</si>
  <si>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</si>
  <si>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</si>
  <si>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</si>
  <si>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</si>
  <si>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</si>
  <si>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</si>
  <si>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</si>
  <si>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</si>
  <si>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</si>
  <si>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</si>
  <si>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</si>
  <si>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</si>
  <si>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</si>
  <si>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</si>
  <si>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</si>
  <si>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</si>
  <si>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</si>
  <si>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</si>
  <si>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</si>
  <si>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</si>
  <si>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</si>
  <si>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</si>
  <si>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</si>
  <si>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</si>
  <si>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</si>
  <si>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</si>
  <si>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</si>
  <si>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</si>
  <si>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</si>
  <si>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</si>
  <si>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</si>
  <si>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</si>
  <si>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</si>
  <si>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</si>
  <si>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</si>
  <si>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</si>
  <si>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</si>
  <si>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</si>
  <si>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</si>
  <si>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</si>
  <si>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</si>
  <si>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</si>
  <si>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</si>
  <si>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</si>
  <si>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</si>
  <si>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</si>
  <si>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</si>
  <si>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</si>
  <si>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</si>
  <si>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</si>
  <si>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</si>
  <si>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</si>
  <si>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</si>
  <si>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</si>
  <si>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</si>
  <si>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</si>
  <si>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</si>
  <si>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</si>
  <si>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</si>
  <si>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</si>
  <si>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</si>
  <si>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</si>
  <si>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</si>
  <si>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</si>
  <si>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</si>
  <si>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</si>
  <si>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</si>
  <si>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</si>
  <si>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</si>
  <si>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</si>
  <si>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</si>
  <si>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</si>
  <si>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</si>
  <si>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</si>
  <si>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</si>
  <si>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</si>
  <si>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</si>
  <si>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</si>
  <si>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</si>
  <si>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</si>
  <si>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</si>
  <si>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</si>
  <si>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</si>
  <si>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</si>
  <si>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</si>
  <si>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</si>
  <si>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</si>
  <si>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</si>
  <si>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</si>
  <si>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</si>
  <si>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</si>
  <si>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</si>
  <si>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</si>
  <si>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</si>
  <si>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</si>
  <si>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</si>
  <si>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</si>
  <si>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</si>
  <si>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</si>
  <si>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</si>
  <si>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</si>
  <si>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</si>
  <si>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</si>
  <si>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</si>
  <si>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</si>
  <si>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</si>
  <si>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</si>
  <si>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</si>
  <si>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</si>
  <si>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</si>
  <si>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</si>
  <si>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</si>
  <si>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</si>
  <si>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</si>
  <si>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</si>
  <si>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</si>
  <si>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</si>
  <si>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</si>
  <si>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</si>
  <si>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</si>
  <si>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</si>
  <si>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</si>
  <si>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</si>
  <si>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</si>
  <si>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</si>
  <si>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</si>
  <si>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</si>
  <si>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</si>
  <si>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</si>
  <si>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</si>
  <si>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</si>
  <si>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</si>
  <si>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</si>
  <si>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</si>
  <si>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</si>
  <si>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</si>
  <si>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</si>
  <si>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</si>
  <si>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</si>
  <si>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</si>
  <si>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</si>
  <si>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</si>
  <si>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</si>
  <si>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</si>
  <si>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</si>
  <si>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</si>
  <si>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</si>
  <si>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</si>
  <si>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</si>
  <si>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</si>
  <si>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</si>
  <si>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</si>
  <si>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</si>
  <si>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</si>
  <si>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</si>
  <si>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</si>
  <si>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</si>
  <si>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</si>
  <si>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</si>
  <si>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</si>
  <si>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</si>
  <si>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</si>
  <si>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</si>
  <si>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</si>
  <si>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</si>
  <si>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</si>
  <si>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</si>
  <si>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</si>
  <si>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</si>
  <si>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</si>
  <si>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</si>
  <si>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</si>
  <si>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</si>
  <si>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</si>
  <si>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</si>
  <si>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</si>
  <si>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</si>
  <si>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</si>
  <si>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</si>
  <si>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</si>
  <si>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</si>
  <si>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</si>
  <si>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</si>
  <si>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</si>
  <si>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</si>
  <si>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</si>
  <si>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</si>
  <si>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</si>
  <si>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</si>
  <si>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</si>
  <si>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</si>
  <si>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</si>
  <si>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</si>
  <si>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</si>
  <si>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</si>
  <si>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</si>
  <si>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</si>
  <si>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</si>
  <si>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</si>
  <si>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</si>
  <si>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</si>
  <si>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</si>
  <si>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</si>
  <si>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</si>
  <si>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</si>
  <si>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</si>
  <si>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</si>
  <si>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</si>
  <si>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</si>
  <si>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</si>
  <si>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</si>
  <si>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</si>
  <si>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</si>
  <si>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</si>
  <si>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</si>
  <si>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</si>
  <si>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</si>
  <si>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</si>
  <si>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</si>
  <si>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</si>
  <si>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</si>
  <si>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</si>
  <si>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</si>
  <si>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</si>
  <si>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</si>
  <si>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</si>
  <si>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</si>
  <si>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</si>
  <si>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</si>
  <si>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</si>
  <si>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</si>
  <si>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</si>
  <si>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</si>
  <si>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</si>
  <si>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</si>
  <si>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</si>
  <si>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</si>
  <si>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</si>
  <si>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</si>
  <si>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</si>
  <si>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</si>
  <si>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</si>
  <si>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</si>
  <si>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</si>
  <si>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</si>
  <si>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</si>
  <si>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</si>
  <si>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</si>
  <si>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</si>
  <si>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</si>
  <si>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</si>
  <si>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</si>
  <si>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</si>
  <si>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</si>
  <si>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</si>
  <si>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</si>
  <si>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</si>
  <si>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</si>
  <si>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</si>
  <si>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</si>
  <si>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</si>
  <si>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</si>
  <si>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</si>
  <si>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</si>
  <si>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</si>
  <si>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</si>
  <si>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</si>
  <si>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</si>
  <si>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</si>
  <si>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</si>
  <si>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</si>
  <si>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</si>
  <si>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</si>
  <si>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</si>
  <si>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</si>
  <si>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</si>
  <si>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</si>
  <si>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</si>
  <si>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</si>
  <si>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</si>
  <si>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</si>
  <si>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</si>
  <si>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</si>
  <si>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</si>
  <si>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</si>
  <si>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</si>
  <si>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</si>
  <si>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</si>
  <si>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</si>
  <si>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</si>
  <si>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</si>
  <si>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</si>
  <si>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</si>
  <si>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</si>
  <si>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</si>
  <si>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</si>
  <si>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</si>
  <si>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</si>
  <si>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</si>
  <si>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</si>
  <si>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</si>
  <si>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</si>
  <si>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</si>
  <si>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</si>
  <si>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</si>
  <si>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</si>
  <si>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</si>
  <si>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</si>
  <si>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</si>
  <si>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</si>
  <si>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</si>
  <si>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</si>
  <si>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</si>
  <si>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</si>
  <si>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</si>
  <si>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</si>
  <si>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</si>
  <si>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</si>
  <si>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</si>
  <si>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</si>
  <si>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</si>
  <si>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</si>
  <si>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</si>
  <si>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</si>
  <si>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</si>
  <si>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</si>
  <si>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</si>
  <si>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</si>
  <si>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</si>
  <si>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</si>
  <si>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</si>
  <si>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</si>
  <si>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</si>
  <si>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</si>
  <si>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</si>
  <si>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</si>
  <si>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</si>
  <si>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</si>
  <si>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</si>
  <si>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</si>
  <si>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</si>
  <si>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</si>
  <si>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</si>
  <si>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</si>
  <si>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</si>
  <si>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</si>
  <si>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</si>
  <si>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</si>
  <si>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</si>
  <si>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</si>
  <si>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</si>
  <si>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</si>
  <si>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</si>
  <si>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</si>
  <si>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</si>
  <si>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</si>
  <si>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</si>
  <si>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</si>
  <si>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</si>
  <si>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</si>
  <si>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</si>
  <si>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</si>
  <si>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</si>
  <si>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</si>
  <si>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</si>
  <si>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</si>
  <si>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</si>
  <si>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</si>
  <si>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</si>
  <si>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</si>
  <si>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</si>
  <si>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</si>
  <si>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</si>
  <si>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</si>
  <si>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</si>
  <si>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</si>
  <si>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</si>
  <si>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</si>
  <si>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</si>
  <si>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</si>
  <si>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</si>
  <si>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</si>
  <si>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</si>
  <si>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</si>
  <si>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</si>
  <si>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</si>
  <si>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</si>
  <si>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</si>
  <si>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</si>
  <si>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</si>
  <si>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</si>
  <si>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</si>
  <si>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</si>
  <si>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</si>
  <si>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</si>
  <si>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</si>
  <si>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</si>
  <si>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</si>
  <si>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</si>
  <si>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</si>
  <si>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</si>
  <si>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</si>
  <si>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</si>
  <si>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</si>
  <si>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</si>
  <si>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</si>
  <si>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</si>
  <si>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</si>
  <si>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</si>
  <si>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</si>
  <si>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</si>
  <si>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</si>
  <si>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</si>
  <si>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</si>
  <si>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</si>
  <si>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</si>
  <si>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</si>
  <si>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</si>
  <si>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</si>
  <si>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</si>
  <si>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</si>
  <si>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</si>
  <si>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</si>
  <si>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</si>
  <si>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</si>
  <si>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</si>
  <si>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</si>
  <si>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</si>
  <si>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</si>
  <si>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</si>
  <si>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</si>
  <si>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</si>
  <si>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</si>
  <si>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</si>
  <si>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</si>
  <si>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</si>
  <si>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</si>
  <si>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</si>
  <si>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</si>
  <si>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</si>
  <si>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</si>
  <si>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</si>
  <si>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</si>
  <si>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</si>
  <si>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</si>
  <si>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</si>
  <si>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</si>
  <si>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</si>
  <si>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</si>
  <si>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</si>
  <si>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</si>
  <si>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</si>
  <si>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</si>
  <si>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</si>
  <si>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</si>
  <si>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</si>
  <si>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</si>
  <si>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</si>
  <si>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</si>
  <si>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</si>
  <si>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</si>
  <si>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</si>
  <si>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</si>
  <si>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</si>
  <si>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</si>
  <si>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</si>
  <si>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</si>
  <si>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</si>
  <si>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</si>
  <si>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</si>
  <si>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</si>
  <si>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</si>
  <si>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</si>
  <si>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</si>
  <si>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</si>
  <si>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</si>
  <si>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</si>
  <si>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</si>
  <si>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</si>
  <si>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</si>
  <si>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</si>
  <si>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</si>
  <si>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</si>
  <si>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</si>
  <si>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</si>
  <si>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</si>
  <si>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</si>
  <si>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</si>
  <si>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</si>
  <si>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</si>
  <si>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</si>
  <si>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</si>
  <si>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</si>
  <si>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</si>
  <si>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</si>
  <si>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</si>
  <si>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</si>
  <si>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</si>
  <si>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</si>
  <si>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</si>
  <si>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</si>
  <si>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</si>
  <si>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</si>
  <si>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</si>
  <si>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</si>
  <si>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</si>
  <si>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</si>
  <si>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</si>
  <si>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</si>
  <si>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</si>
  <si>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</si>
  <si>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</si>
  <si>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</si>
  <si>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</si>
  <si>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</si>
  <si>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</si>
  <si>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</si>
  <si>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</si>
  <si>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</si>
  <si>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</si>
  <si>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</si>
  <si>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</si>
  <si>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</si>
  <si>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</si>
  <si>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</si>
  <si>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</si>
  <si>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</si>
  <si>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</si>
  <si>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</si>
  <si>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</si>
  <si>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</si>
  <si>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</si>
  <si>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</si>
  <si>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</si>
  <si>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</si>
  <si>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</si>
  <si>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</si>
  <si>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</si>
  <si>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</si>
  <si>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</si>
  <si>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</si>
  <si>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</si>
  <si>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</si>
  <si>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</si>
  <si>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</si>
  <si>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</si>
  <si>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</si>
  <si>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</si>
  <si>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</si>
  <si>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</si>
  <si>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</si>
  <si>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</si>
  <si>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</si>
  <si>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</si>
  <si>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</si>
  <si>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</si>
  <si>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</si>
  <si>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</si>
  <si>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</si>
  <si>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</si>
  <si>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</si>
  <si>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</si>
  <si>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</si>
  <si>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</si>
  <si>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</si>
  <si>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</si>
  <si>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</si>
  <si>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</si>
  <si>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</si>
  <si>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</si>
  <si>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</si>
  <si>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</si>
  <si>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</si>
  <si>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</si>
  <si>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</si>
  <si>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</si>
  <si>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</si>
  <si>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</si>
  <si>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</si>
  <si>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</si>
  <si>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</si>
  <si>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</si>
  <si>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</si>
  <si>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</si>
  <si>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</si>
  <si>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</si>
  <si>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</si>
  <si>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</si>
  <si>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</si>
  <si>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</si>
  <si>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</si>
  <si>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</si>
  <si>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</si>
  <si>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</si>
  <si>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</si>
  <si>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</si>
  <si>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</si>
  <si>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</si>
  <si>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</si>
  <si>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</si>
  <si>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</si>
  <si>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</si>
  <si>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</si>
  <si>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</si>
  <si>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</si>
  <si>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</si>
  <si>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</si>
  <si>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</si>
  <si>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</si>
  <si>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</si>
  <si>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</si>
  <si>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</si>
  <si>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</si>
  <si>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</si>
  <si>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</si>
  <si>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</si>
  <si>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</si>
  <si>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</si>
  <si>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</si>
  <si>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</si>
  <si>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</si>
  <si>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</si>
  <si>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</si>
  <si>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</si>
  <si>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</si>
  <si>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</si>
  <si>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</si>
  <si>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</si>
  <si>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</si>
  <si>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</si>
  <si>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</si>
  <si>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</si>
  <si>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</si>
  <si>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</si>
  <si>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</si>
  <si>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</si>
  <si>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</si>
  <si>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</si>
  <si>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</si>
  <si>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</si>
  <si>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</si>
  <si>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</si>
  <si>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</si>
  <si>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</si>
  <si>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</si>
  <si>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</si>
  <si>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</si>
  <si>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</si>
  <si>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</si>
  <si>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</si>
  <si>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</si>
  <si>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</si>
  <si>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</si>
  <si>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</si>
  <si>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</si>
  <si>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</si>
  <si>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</si>
  <si>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</si>
  <si>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</si>
  <si>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</si>
  <si>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</si>
  <si>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</si>
  <si>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</si>
  <si>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</si>
  <si>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</si>
  <si>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</si>
  <si>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</si>
  <si>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</si>
  <si>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</si>
  <si>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</si>
  <si>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</si>
  <si>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</si>
  <si>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</si>
  <si>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</si>
  <si>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</si>
  <si>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</si>
  <si>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</si>
  <si>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</si>
  <si>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</si>
  <si>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</si>
  <si>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</si>
  <si>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</si>
  <si>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</si>
  <si>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</si>
  <si>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</si>
  <si>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</si>
  <si>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</si>
  <si>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</si>
  <si>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</si>
  <si>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</si>
  <si>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</si>
  <si>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</si>
  <si>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</si>
  <si>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</si>
  <si>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</si>
  <si>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</si>
  <si>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</si>
  <si>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</si>
  <si>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</si>
  <si>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</si>
  <si>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</si>
  <si>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</si>
  <si>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</si>
  <si>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</si>
  <si>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</si>
  <si>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</si>
  <si>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</si>
  <si>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</si>
  <si>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</si>
  <si>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</si>
  <si>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</si>
  <si>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</si>
  <si>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</si>
  <si>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</si>
  <si>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</si>
  <si>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</si>
  <si>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</si>
  <si>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</si>
  <si>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</si>
  <si>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</si>
  <si>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</si>
  <si>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</si>
  <si>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</si>
  <si>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</si>
  <si>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</si>
  <si>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</si>
  <si>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</si>
  <si>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</si>
  <si>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</si>
  <si>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</si>
  <si>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</si>
  <si>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</si>
  <si>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</si>
  <si>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</si>
  <si>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</si>
  <si>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</si>
  <si>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</si>
  <si>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</si>
  <si>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</si>
  <si>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</si>
  <si>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</si>
  <si>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</si>
  <si>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</si>
  <si>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</si>
  <si>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</si>
  <si>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</si>
  <si>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</si>
  <si>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</si>
  <si>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</si>
  <si>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</si>
  <si>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</si>
  <si>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</si>
  <si>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</si>
  <si>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</si>
  <si>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</si>
  <si>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</si>
  <si>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</si>
  <si>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</si>
  <si>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</si>
  <si>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</si>
  <si>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</si>
  <si>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</si>
  <si>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</si>
  <si>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</si>
  <si>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</si>
  <si>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</si>
  <si>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</si>
  <si>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</si>
  <si>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</si>
  <si>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</si>
  <si>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</si>
  <si>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</si>
  <si>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</si>
  <si>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</si>
  <si>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</si>
  <si>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</si>
  <si>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</si>
  <si>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</si>
  <si>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</si>
  <si>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</si>
  <si>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</si>
  <si>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</si>
  <si>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</si>
  <si>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</si>
  <si>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</si>
  <si>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</si>
  <si>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</si>
  <si>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</si>
  <si>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</si>
  <si>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</si>
  <si>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</si>
  <si>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</si>
  <si>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</si>
  <si>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</si>
  <si>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</si>
  <si>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</si>
  <si>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</si>
  <si>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</si>
  <si>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</si>
  <si>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</si>
  <si>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</si>
  <si>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</si>
  <si>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</si>
  <si>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</si>
  <si>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</si>
  <si>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</si>
  <si>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</si>
  <si>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</si>
  <si>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</si>
  <si>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</si>
  <si>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</si>
  <si>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</si>
  <si>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</si>
  <si>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</si>
  <si>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</si>
  <si>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</si>
  <si>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</si>
  <si>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</si>
  <si>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</si>
  <si>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</si>
  <si>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</si>
  <si>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</si>
  <si>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</si>
  <si>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</si>
  <si>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</si>
  <si>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</si>
  <si>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</si>
  <si>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</si>
  <si>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</si>
  <si>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</si>
  <si>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</si>
  <si>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</si>
  <si>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</si>
  <si>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</si>
  <si>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</si>
  <si>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</si>
  <si>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</si>
  <si>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</si>
  <si>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</si>
  <si>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</si>
  <si>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</si>
  <si>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</si>
  <si>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</si>
  <si>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</si>
  <si>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</si>
  <si>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</si>
  <si>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</si>
  <si>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</si>
  <si>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</si>
  <si>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</si>
  <si>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</si>
  <si>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</si>
  <si>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</si>
  <si>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</si>
  <si>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</si>
  <si>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</si>
  <si>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</si>
  <si>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</si>
  <si>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</si>
  <si>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</si>
  <si>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</si>
  <si>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</si>
  <si>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</si>
  <si>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</si>
  <si>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</si>
  <si>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</si>
  <si>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</si>
  <si>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</si>
  <si>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</si>
  <si>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</si>
  <si>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</si>
  <si>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</si>
  <si>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</si>
  <si>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</si>
  <si>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</si>
  <si>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</si>
  <si>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</si>
  <si>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</si>
  <si>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</si>
  <si>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</si>
  <si>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</si>
  <si>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</si>
  <si>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</si>
  <si>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</si>
  <si>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</si>
  <si>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</si>
  <si>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</si>
  <si>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</si>
  <si>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</si>
  <si>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</si>
  <si>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</si>
  <si>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</si>
  <si>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</si>
  <si>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</si>
  <si>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</si>
  <si>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</si>
  <si>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</si>
  <si>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</si>
  <si>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</si>
  <si>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</si>
  <si>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</si>
  <si>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</si>
  <si>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</si>
  <si>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</si>
  <si>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</si>
  <si>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</si>
  <si>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</si>
  <si>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</si>
  <si>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</si>
  <si>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</si>
  <si>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</si>
  <si>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</si>
  <si>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</si>
  <si>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</si>
  <si>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</si>
  <si>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</si>
  <si>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</si>
  <si>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</si>
  <si>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</si>
  <si>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</si>
  <si>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</si>
  <si>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</si>
  <si>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</si>
  <si>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</si>
  <si>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</si>
  <si>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</si>
  <si>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</si>
  <si>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</si>
  <si>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</si>
  <si>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</si>
  <si>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</si>
  <si>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</si>
  <si>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</si>
  <si>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</si>
  <si>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</si>
  <si>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</si>
  <si>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</si>
  <si>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</si>
  <si>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</si>
  <si>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</si>
  <si>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</si>
  <si>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</si>
  <si>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</si>
  <si>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</si>
  <si>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</si>
  <si>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</si>
  <si>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</si>
  <si>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</si>
  <si>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</si>
  <si>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</si>
  <si>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</si>
  <si>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</si>
  <si>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</si>
  <si>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</si>
  <si>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</si>
  <si>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</si>
  <si>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</si>
  <si>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</si>
  <si>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</si>
  <si>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</si>
  <si>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</si>
  <si>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</si>
  <si>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</si>
  <si>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</si>
  <si>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</si>
  <si>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</si>
  <si>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</si>
  <si>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</si>
  <si>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</si>
  <si>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</si>
  <si>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</si>
  <si>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</si>
  <si>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</si>
  <si>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</si>
  <si>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</si>
  <si>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</si>
  <si>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</si>
  <si>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</si>
  <si>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</si>
  <si>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</si>
  <si>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</si>
  <si>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</si>
  <si>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</si>
  <si>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</si>
  <si>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</si>
  <si>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</si>
  <si>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</si>
  <si>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</si>
  <si>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</si>
  <si>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</si>
  <si>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</si>
  <si>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</si>
  <si>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</si>
  <si>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</si>
  <si>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</si>
  <si>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</si>
  <si>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</si>
  <si>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</si>
  <si>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</si>
  <si>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</si>
  <si>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</si>
  <si>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</si>
  <si>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</si>
  <si>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</si>
  <si>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</si>
  <si>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</si>
  <si>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</si>
  <si>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</si>
  <si>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</si>
  <si>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</si>
  <si>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</si>
  <si>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</si>
  <si>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</si>
  <si>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</si>
  <si>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</si>
  <si>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</si>
  <si>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</si>
  <si>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</si>
  <si>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</si>
  <si>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</si>
  <si>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</si>
  <si>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</si>
  <si>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</si>
  <si>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</si>
  <si>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</si>
  <si>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</si>
  <si>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</si>
  <si>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</si>
  <si>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</si>
  <si>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</si>
  <si>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</si>
  <si>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</si>
  <si>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</si>
  <si>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</si>
  <si>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</si>
  <si>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</si>
  <si>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</si>
  <si>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</si>
  <si>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</si>
  <si>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</si>
  <si>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</si>
  <si>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</si>
  <si>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</si>
  <si>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</si>
  <si>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</si>
  <si>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</si>
  <si>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</si>
  <si>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</si>
  <si>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</si>
  <si>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</si>
  <si>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</si>
  <si>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</si>
  <si>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</si>
  <si>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</si>
  <si>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</si>
  <si>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</si>
  <si>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</si>
  <si>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</si>
  <si>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</si>
  <si>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</si>
  <si>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</si>
  <si>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</si>
  <si>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</si>
  <si>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</si>
  <si>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</si>
  <si>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</si>
  <si>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</si>
  <si>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</si>
  <si>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</si>
  <si>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</si>
  <si>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</si>
  <si>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</si>
  <si>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</si>
  <si>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</si>
  <si>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</si>
  <si>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</si>
  <si>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</si>
  <si>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</si>
  <si>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</si>
  <si>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</si>
  <si>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</si>
  <si>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</si>
  <si>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</si>
  <si>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</si>
  <si>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</si>
  <si>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</si>
  <si>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</si>
  <si>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</si>
  <si>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</si>
  <si>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</si>
  <si>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</si>
  <si>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</si>
  <si>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</si>
  <si>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</si>
  <si>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</si>
  <si>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</si>
  <si>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</si>
  <si>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</si>
  <si>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</si>
  <si>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</si>
  <si>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</si>
  <si>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</si>
  <si>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</si>
  <si>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</si>
  <si>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</si>
  <si>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</si>
  <si>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</si>
  <si>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</si>
  <si>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</si>
  <si>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</si>
  <si>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</si>
  <si>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</si>
  <si>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</si>
  <si>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</si>
  <si>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</si>
  <si>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</si>
  <si>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</si>
  <si>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</si>
  <si>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</si>
  <si>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</si>
  <si>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</si>
  <si>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</si>
  <si>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</si>
  <si>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</si>
  <si>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</si>
  <si>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</si>
  <si>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</si>
  <si>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</si>
  <si>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</si>
  <si>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</si>
  <si>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</si>
  <si>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</si>
  <si>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</si>
  <si>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</si>
  <si>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</si>
  <si>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</si>
  <si>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</si>
  <si>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</si>
  <si>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</si>
  <si>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</si>
  <si>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</si>
  <si>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</si>
  <si>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</si>
  <si>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</si>
  <si>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</si>
  <si>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</si>
  <si>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</si>
  <si>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</si>
  <si>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</si>
  <si>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</si>
  <si>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</si>
  <si>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</si>
  <si>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</si>
  <si>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</si>
  <si>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</si>
  <si>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</si>
  <si>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</si>
  <si>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</si>
  <si>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</si>
  <si>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</si>
  <si>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</si>
  <si>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</si>
  <si>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</si>
  <si>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</si>
  <si>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</si>
  <si>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</si>
  <si>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</si>
  <si>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</si>
  <si>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</si>
  <si>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</si>
  <si>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</si>
  <si>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</si>
  <si>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</si>
  <si>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</si>
  <si>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</si>
  <si>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</si>
  <si>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</si>
  <si>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</si>
  <si>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</si>
  <si>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</si>
  <si>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</si>
  <si>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</si>
  <si>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</si>
  <si>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</si>
  <si>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</si>
  <si>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</si>
  <si>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</si>
  <si>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</si>
  <si>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</si>
  <si>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</si>
  <si>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</si>
  <si>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</si>
  <si>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</si>
  <si>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</si>
  <si>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</si>
  <si>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</si>
  <si>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</si>
  <si>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</si>
  <si>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</si>
  <si>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</si>
  <si>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</si>
  <si>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</si>
  <si>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</si>
  <si>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</si>
  <si>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</si>
  <si>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</si>
  <si>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</si>
  <si>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</si>
  <si>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</si>
  <si>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</si>
  <si>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</si>
  <si>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</si>
  <si>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</si>
  <si>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</si>
  <si>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</si>
  <si>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</si>
  <si>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</si>
  <si>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</si>
  <si>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</si>
  <si>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</si>
  <si>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</si>
  <si>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</si>
  <si>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</si>
  <si>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</si>
  <si>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</si>
  <si>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</si>
  <si>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</si>
  <si>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</si>
  <si>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</si>
  <si>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</si>
  <si>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</si>
  <si>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</si>
  <si>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</si>
  <si>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</si>
  <si>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</si>
  <si>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</si>
  <si>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</si>
  <si>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</si>
  <si>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</si>
  <si>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</si>
  <si>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</si>
  <si>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</si>
  <si>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</si>
  <si>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</si>
  <si>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</si>
  <si>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</si>
  <si>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</si>
  <si>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</si>
  <si>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</si>
  <si>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</si>
  <si>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</si>
  <si>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</si>
  <si>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</si>
  <si>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</si>
  <si>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</si>
  <si>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</si>
  <si>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</si>
  <si>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</si>
  <si>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</si>
  <si>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</si>
  <si>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</si>
  <si>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</si>
  <si>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</si>
  <si>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</si>
  <si>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</si>
  <si>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</si>
  <si>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</si>
  <si>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</si>
  <si>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</si>
  <si>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</si>
  <si>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</si>
  <si>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</si>
  <si>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</si>
  <si>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</si>
  <si>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</si>
  <si>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</si>
  <si>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</si>
  <si>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</si>
  <si>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</si>
  <si>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</si>
  <si>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</si>
  <si>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</si>
  <si>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</si>
  <si>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</si>
  <si>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</si>
  <si>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</si>
  <si>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</si>
  <si>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</si>
  <si>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</si>
  <si>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</si>
  <si>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</si>
  <si>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</si>
  <si>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</si>
  <si>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</si>
  <si>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</si>
  <si>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</si>
  <si>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</si>
  <si>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</si>
  <si>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</si>
  <si>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</si>
  <si>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</si>
  <si>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</si>
  <si>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</si>
  <si>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</si>
  <si>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</si>
  <si>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</si>
  <si>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</si>
  <si>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</si>
  <si>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</si>
  <si>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</si>
  <si>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</si>
  <si>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</si>
  <si>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</si>
  <si>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</si>
  <si>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</si>
  <si>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</si>
  <si>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</si>
  <si>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</si>
  <si>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</si>
  <si>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</si>
  <si>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</si>
  <si>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</si>
  <si>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</si>
  <si>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</si>
  <si>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</si>
  <si>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</si>
  <si>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</si>
  <si>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</si>
  <si>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</si>
  <si>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</si>
  <si>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</si>
  <si>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</si>
  <si>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</si>
  <si>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</si>
  <si>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</si>
  <si>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</si>
  <si>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</si>
  <si>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</si>
  <si>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</si>
  <si>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</si>
  <si>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</si>
  <si>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</si>
  <si>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</si>
  <si>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</si>
  <si>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</si>
  <si>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</si>
  <si>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</si>
  <si>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</si>
  <si>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</si>
  <si>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</si>
  <si>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</si>
  <si>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</si>
  <si>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</si>
  <si>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</si>
  <si>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</si>
  <si>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</si>
  <si>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</si>
  <si>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</si>
  <si>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</si>
  <si>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</si>
  <si>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</si>
  <si>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</si>
  <si>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</si>
  <si>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</si>
  <si>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</si>
  <si>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</si>
  <si>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</si>
  <si>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</si>
  <si>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</si>
  <si>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</si>
  <si>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</si>
  <si>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</si>
  <si>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</si>
  <si>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</si>
  <si>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</si>
  <si>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</si>
  <si>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</si>
  <si>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</si>
  <si>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</si>
  <si>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</si>
  <si>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</si>
  <si>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</si>
  <si>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</si>
  <si>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</si>
  <si>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</si>
  <si>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</si>
  <si>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</si>
  <si>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</si>
  <si>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</si>
  <si>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</si>
  <si>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</si>
  <si>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</si>
  <si>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</si>
  <si>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</si>
  <si>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</si>
  <si>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</si>
  <si>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</si>
  <si>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</si>
  <si>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</si>
  <si>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</si>
  <si>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</si>
  <si>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</si>
  <si>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</si>
  <si>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</si>
  <si>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</si>
  <si>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</si>
  <si>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</si>
  <si>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</si>
  <si>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</si>
  <si>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</si>
  <si>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</si>
  <si>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</si>
  <si>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</si>
  <si>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</si>
  <si>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</si>
  <si>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</si>
  <si>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</si>
  <si>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</si>
  <si>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</si>
  <si>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</si>
  <si>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</si>
  <si>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</si>
  <si>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</si>
  <si>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</si>
  <si>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</si>
  <si>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</si>
  <si>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</si>
  <si>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</si>
  <si>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</si>
  <si>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</si>
  <si>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</si>
  <si>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</si>
  <si>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</si>
  <si>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</si>
  <si>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</si>
  <si>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</si>
  <si>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</si>
  <si>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</si>
  <si>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</si>
  <si>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</si>
  <si>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</si>
  <si>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</si>
  <si>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</si>
  <si>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</si>
  <si>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</si>
  <si>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</si>
  <si>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</si>
  <si>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</si>
  <si>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</si>
  <si>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</si>
  <si>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</si>
  <si>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</si>
  <si>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</si>
  <si>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</si>
  <si>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</si>
  <si>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</si>
  <si>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</si>
  <si>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</si>
  <si>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</si>
  <si>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</si>
  <si>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</si>
  <si>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</si>
  <si>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</si>
  <si>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</si>
  <si>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</si>
  <si>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</si>
  <si>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</si>
  <si>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</si>
  <si>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</si>
  <si>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</si>
  <si>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</si>
  <si>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</si>
  <si>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</si>
  <si>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</si>
  <si>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</si>
  <si>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</si>
  <si>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</si>
  <si>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</si>
  <si>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</si>
  <si>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</si>
  <si>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</si>
  <si>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</si>
  <si>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</si>
  <si>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</si>
  <si>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</si>
  <si>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</si>
  <si>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</si>
  <si>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</si>
  <si>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</si>
  <si>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</si>
  <si>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</si>
  <si>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</si>
  <si>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</si>
  <si>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</si>
  <si>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</si>
  <si>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</si>
  <si>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</si>
  <si>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</si>
  <si>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</si>
  <si>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</si>
  <si>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</si>
  <si>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</si>
  <si>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</si>
  <si>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</si>
  <si>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</si>
  <si>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</si>
  <si>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</si>
  <si>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</si>
  <si>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</si>
  <si>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</si>
  <si>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</si>
  <si>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</si>
  <si>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</si>
  <si>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</si>
  <si>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</si>
  <si>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</si>
  <si>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</si>
  <si>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</si>
  <si>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</si>
  <si>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</si>
  <si>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</si>
  <si>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</si>
  <si>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</si>
  <si>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</si>
  <si>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</si>
  <si>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</si>
  <si>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</si>
  <si>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</si>
  <si>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</si>
  <si>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</si>
  <si>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</si>
  <si>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</si>
  <si>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</si>
  <si>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</si>
  <si>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</si>
  <si>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</si>
  <si>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</si>
  <si>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</si>
  <si>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</si>
  <si>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</si>
  <si>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</si>
  <si>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</si>
  <si>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</si>
  <si>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</si>
  <si>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</si>
  <si>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</si>
  <si>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</si>
  <si>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</si>
  <si>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</si>
  <si>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</si>
  <si>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</si>
  <si>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</si>
  <si>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</si>
  <si>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</si>
  <si>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</si>
  <si>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</si>
  <si>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</si>
  <si>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</si>
  <si>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</si>
  <si>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</si>
  <si>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</si>
  <si>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</si>
  <si>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</si>
  <si>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</si>
  <si>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</si>
  <si>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</si>
  <si>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</si>
  <si>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</si>
  <si>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</si>
  <si>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</si>
  <si>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</si>
  <si>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</si>
  <si>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</si>
  <si>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</si>
  <si>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</si>
  <si>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</si>
  <si>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</si>
  <si>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</si>
  <si>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</si>
  <si>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</si>
  <si>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</si>
  <si>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</si>
  <si>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</si>
  <si>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</si>
  <si>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</si>
  <si>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</si>
  <si>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</si>
  <si>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</si>
  <si>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</si>
  <si>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</si>
  <si>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</si>
  <si>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</si>
  <si>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</si>
  <si>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</si>
  <si>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</si>
  <si>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</si>
  <si>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</si>
  <si>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</si>
  <si>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</si>
  <si>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</si>
  <si>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</si>
  <si>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</si>
  <si>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</si>
  <si>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</si>
  <si>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</si>
  <si>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</si>
  <si>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</si>
  <si>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</si>
  <si>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</si>
  <si>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</si>
  <si>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</si>
  <si>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</si>
  <si>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</si>
  <si>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</si>
  <si>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</si>
  <si>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</si>
  <si>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</si>
  <si>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</si>
  <si>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</si>
  <si>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</si>
  <si>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</si>
  <si>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</si>
  <si>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</si>
  <si>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</si>
  <si>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</si>
  <si>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</si>
  <si>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</si>
  <si>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</si>
  <si>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</si>
  <si>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</si>
  <si>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</si>
  <si>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</si>
  <si>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</si>
  <si>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</si>
  <si>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</si>
  <si>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</si>
  <si>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</si>
  <si>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</si>
  <si>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</si>
  <si>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</si>
  <si>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</si>
  <si>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</si>
  <si>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</si>
  <si>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</si>
  <si>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</si>
  <si>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</si>
  <si>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</si>
  <si>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</si>
  <si>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</si>
  <si>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</si>
  <si>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</si>
  <si>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</si>
  <si>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</si>
  <si>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</si>
  <si>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</si>
  <si>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</si>
  <si>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</si>
  <si>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</si>
  <si>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</si>
  <si>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</si>
  <si>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</si>
  <si>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</si>
  <si>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</si>
  <si>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</si>
  <si>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</si>
  <si>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</si>
  <si>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</si>
  <si>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</si>
  <si>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</si>
  <si>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</si>
  <si>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</si>
  <si>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</si>
  <si>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</si>
  <si>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</si>
  <si>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</si>
  <si>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</si>
  <si>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</si>
  <si>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</si>
  <si>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</si>
  <si>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</si>
  <si>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</si>
  <si>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</si>
  <si>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</si>
  <si>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</si>
  <si>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</si>
  <si>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</si>
  <si>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</si>
  <si>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</si>
  <si>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</si>
  <si>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</si>
  <si>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</si>
  <si>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</si>
  <si>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</si>
  <si>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</si>
  <si>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</si>
  <si>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</si>
  <si>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</si>
  <si>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</si>
  <si>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</si>
  <si>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</si>
  <si>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</si>
  <si>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</si>
  <si>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</si>
  <si>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</si>
  <si>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</si>
  <si>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</si>
  <si>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</si>
  <si>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</si>
  <si>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</si>
  <si>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</si>
  <si>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</si>
  <si>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</si>
  <si>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</si>
  <si>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</si>
  <si>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</si>
  <si>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</si>
  <si>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</si>
  <si>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</si>
  <si>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</si>
  <si>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</si>
  <si>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</si>
  <si>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</si>
  <si>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</si>
  <si>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</si>
  <si>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</si>
  <si>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</si>
  <si>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</si>
  <si>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</si>
  <si>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</si>
  <si>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</si>
  <si>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</si>
  <si>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</si>
  <si>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</si>
  <si>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</si>
  <si>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</si>
  <si>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</si>
  <si>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</si>
  <si>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</si>
  <si>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</si>
  <si>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</si>
  <si>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</si>
  <si>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</si>
  <si>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</si>
  <si>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</si>
  <si>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</si>
  <si>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</si>
  <si>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</si>
  <si>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</si>
  <si>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</si>
  <si>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</si>
  <si>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</si>
  <si>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</si>
  <si>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</si>
  <si>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</si>
  <si>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</si>
  <si>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</si>
  <si>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</si>
  <si>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</si>
  <si>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</si>
  <si>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</si>
  <si>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</si>
  <si>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</si>
  <si>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</si>
  <si>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</si>
  <si>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</si>
  <si>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</si>
  <si>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</si>
  <si>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</si>
  <si>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</si>
  <si>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</si>
  <si>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</si>
  <si>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</si>
  <si>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</si>
  <si>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</si>
  <si>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</si>
  <si>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</si>
  <si>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</si>
  <si>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</si>
  <si>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</si>
  <si>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</si>
  <si>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</si>
  <si>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</si>
  <si>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</si>
  <si>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</si>
  <si>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</si>
  <si>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</si>
  <si>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</si>
  <si>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</si>
  <si>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</si>
  <si>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</si>
  <si>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</si>
  <si>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</si>
  <si>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</si>
  <si>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</si>
  <si>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</si>
  <si>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</si>
  <si>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</si>
  <si>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</si>
  <si>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</si>
  <si>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</si>
  <si>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</si>
  <si>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</si>
  <si>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</si>
  <si>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</si>
  <si>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</si>
  <si>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</si>
  <si>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</si>
  <si>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</si>
  <si>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</si>
  <si>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</si>
  <si>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</si>
  <si>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</si>
  <si>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</si>
  <si>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</si>
  <si>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</si>
  <si>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</si>
  <si>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</si>
  <si>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</si>
  <si>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</si>
  <si>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</si>
  <si>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</si>
  <si>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</si>
  <si>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</si>
  <si>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</si>
  <si>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</si>
  <si>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</si>
  <si>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</si>
  <si>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</si>
  <si>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</si>
  <si>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</si>
  <si>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</si>
  <si>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</si>
  <si>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</si>
  <si>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</si>
  <si>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</si>
  <si>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</si>
  <si>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</si>
  <si>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</si>
  <si>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</si>
  <si>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</si>
  <si>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</si>
  <si>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</si>
  <si>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</si>
  <si>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</si>
  <si>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</si>
  <si>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</si>
  <si>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</si>
  <si>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</si>
  <si>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</si>
  <si>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</si>
  <si>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</si>
  <si>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</si>
  <si>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</si>
  <si>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</si>
  <si>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</si>
  <si>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</si>
  <si>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</si>
  <si>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</si>
  <si>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</si>
  <si>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</si>
  <si>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</si>
  <si>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</si>
  <si>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</si>
  <si>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</si>
  <si>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</si>
  <si>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</si>
  <si>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</si>
  <si>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</si>
  <si>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</si>
  <si>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</si>
  <si>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</si>
  <si>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</si>
  <si>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</si>
  <si>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</si>
  <si>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</si>
  <si>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</si>
  <si>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</si>
  <si>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</si>
  <si>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</si>
  <si>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</si>
  <si>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</si>
  <si>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</si>
  <si>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</si>
  <si>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</si>
  <si>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</si>
  <si>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</si>
  <si>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</si>
  <si>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</si>
  <si>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</si>
  <si>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</si>
  <si>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</si>
  <si>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</si>
  <si>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</si>
  <si>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</si>
  <si>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</si>
  <si>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</si>
  <si>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</si>
  <si>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</si>
  <si>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</si>
  <si>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</si>
  <si>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</si>
  <si>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</si>
  <si>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</si>
  <si>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</si>
  <si>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</si>
  <si>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</si>
  <si>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</si>
  <si>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</si>
  <si>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</si>
  <si>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</si>
  <si>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</si>
  <si>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</si>
  <si>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</si>
  <si>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</si>
  <si>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</si>
  <si>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</si>
  <si>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</si>
  <si>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</si>
  <si>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</si>
  <si>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</si>
  <si>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</si>
  <si>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</si>
  <si>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</si>
  <si>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</si>
  <si>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</si>
  <si>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</si>
  <si>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</si>
  <si>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</si>
  <si>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</si>
  <si>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</si>
  <si>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</si>
  <si>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</si>
  <si>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</si>
  <si>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</si>
  <si>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</si>
  <si>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</si>
  <si>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</si>
  <si>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</si>
  <si>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</si>
  <si>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</si>
  <si>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</si>
  <si>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</si>
  <si>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</si>
  <si>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</si>
  <si>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</si>
  <si>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</si>
  <si>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</si>
  <si>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</si>
  <si>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</si>
  <si>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</si>
  <si>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</si>
  <si>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</si>
  <si>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</si>
  <si>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</si>
  <si>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</si>
  <si>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</si>
  <si>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</si>
  <si>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</si>
  <si>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Count of outcome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</si>
  <si>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</si>
  <si>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</si>
  <si>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</si>
  <si>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</si>
  <si>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</si>
  <si>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</si>
  <si>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</si>
  <si>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</si>
  <si>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</si>
  <si>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</si>
  <si>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Grand Total</t>
  </si>
  <si>
    <t>Column Labels</t>
  </si>
  <si>
    <t>(All)</t>
  </si>
  <si>
    <t>animation</t>
  </si>
  <si>
    <t>documentary</t>
  </si>
  <si>
    <t>drama</t>
  </si>
  <si>
    <t>science fiction</t>
  </si>
  <si>
    <t>shorts</t>
  </si>
  <si>
    <t>television</t>
  </si>
  <si>
    <t>food trucks</t>
  </si>
  <si>
    <t>mobile games</t>
  </si>
  <si>
    <t>video games</t>
  </si>
  <si>
    <t>audio</t>
  </si>
  <si>
    <t>electric music</t>
  </si>
  <si>
    <t>indie rock</t>
  </si>
  <si>
    <t>jazz</t>
  </si>
  <si>
    <t>metal</t>
  </si>
  <si>
    <t>rock</t>
  </si>
  <si>
    <t>world music</t>
  </si>
  <si>
    <t>photography books</t>
  </si>
  <si>
    <t>fiction</t>
  </si>
  <si>
    <t>nonfiction</t>
  </si>
  <si>
    <t>radio &amp; podcasts</t>
  </si>
  <si>
    <t>translations</t>
  </si>
  <si>
    <t>wearables</t>
  </si>
  <si>
    <t>web</t>
  </si>
  <si>
    <t>plays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</si>
  <si>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</si>
  <si>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</si>
  <si>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</si>
  <si>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</si>
  <si>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</si>
  <si>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</si>
  <si>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</si>
  <si>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</si>
  <si>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</si>
  <si>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</si>
  <si>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</si>
  <si>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</si>
  <si>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</si>
  <si>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</si>
  <si>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 (Date Created Conversion)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</si>
  <si>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</si>
  <si>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</si>
  <si>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</si>
  <si>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</si>
  <si>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</si>
  <si>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</si>
  <si>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</si>
  <si>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</si>
  <si>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</si>
  <si>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</si>
  <si>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</si>
  <si>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</si>
  <si>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</si>
  <si>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</si>
  <si>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</si>
  <si>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</si>
  <si>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</si>
  <si>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</si>
  <si>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</si>
  <si>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</si>
  <si>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Maximum number of backers</t>
  </si>
  <si>
    <t>Minimum number of backers</t>
  </si>
  <si>
    <t>Median number of backers</t>
  </si>
  <si>
    <t>Mean number of backers</t>
  </si>
  <si>
    <t>Sum of pledged</t>
  </si>
  <si>
    <t>(Multiple Items)</t>
  </si>
  <si>
    <t>Average of Percent Funded</t>
  </si>
  <si>
    <t>Length of Campaign</t>
  </si>
  <si>
    <t>Average of Length of Campaign</t>
  </si>
  <si>
    <t>Average of backers_count</t>
  </si>
  <si>
    <t>Average of Average Donation</t>
  </si>
  <si>
    <t>Average of goal</t>
  </si>
  <si>
    <t>* 1,000 sample projects from a larger pool of projects, so I used the variance and stdev of a sample</t>
  </si>
  <si>
    <t>Variance* of the number of backers</t>
  </si>
  <si>
    <t>Standard deviation* of the number of backers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</si>
</sst>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8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2" fontId="0" fillId="0" borderId="0" xfId="0" applyNumberFormat="1"/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9" fontId="0" fillId="0" borderId="0" xfId="0" applyNumberFormat="1"/>
    <xf numFmtId="164" fontId="0" fillId="0" borderId="0" xfId="0" applyNumberFormat="1"/>
    <xf numFmtId="0" fontId="16" fillId="0" borderId="0" xfId="0" applyFont="1"/>
    <xf numFmtId="2" fontId="16" fillId="33" borderId="0" xfId="0" applyNumberFormat="1" applyFont="1" applyFill="1" applyAlignment="1">
      <alignment horizontal="center"/>
    </xf>
    <xf numFmtId="1" fontId="16" fillId="33" borderId="0" xfId="0" applyNumberFormat="1" applyFont="1" applyFill="1" applyAlignment="1">
      <alignment horizontal="center"/>
    </xf>
    <xf numFmtId="14" fontId="16" fillId="33" borderId="0" xfId="0" applyNumberFormat="1" applyFont="1" applyFill="1" applyAlignment="1">
      <alignment horizontal="center"/>
    </xf>
    <xf numFmtId="0" fontId="16" fillId="33" borderId="0" xfId="0" applyFont="1" applyFill="1" applyAlignment="1">
      <alignment horizontal="center"/>
    </xf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2">
    <dxf>
      <fill>
        <patternFill>
          <bgColor theme="9" tint="0.59996337778862885"/>
        </patternFill>
      </fill>
    </dxf>
    <dxf>
      <fill>
        <patternFill>
          <bgColor rgb="FFFFA3D2"/>
        </patternFill>
      </fill>
    </dxf>
    <dxf>
      <fill>
        <patternFill>
          <bgColor rgb="FFF0E080"/>
        </patternFill>
      </fill>
    </dxf>
    <dxf>
      <fill>
        <patternFill>
          <bgColor rgb="FF00B0F0"/>
        </patternFill>
      </fill>
    </dxf>
    <dxf>
      <fill>
        <patternFill>
          <bgColor theme="9" tint="0.59996337778862885"/>
        </patternFill>
      </fill>
    </dxf>
    <dxf>
      <fill>
        <patternFill>
          <bgColor rgb="FFFFA3D2"/>
        </patternFill>
      </fill>
    </dxf>
    <dxf>
      <fill>
        <patternFill>
          <bgColor rgb="FFF0E080"/>
        </patternFill>
      </fill>
    </dxf>
    <dxf>
      <fill>
        <patternFill>
          <bgColor rgb="FF00B0F0"/>
        </patternFill>
      </fill>
    </dxf>
    <dxf>
      <fill>
        <patternFill>
          <bgColor theme="9" tint="0.59996337778862885"/>
        </patternFill>
      </fill>
    </dxf>
    <dxf>
      <fill>
        <patternFill>
          <bgColor rgb="FFFFA3D2"/>
        </patternFill>
      </fill>
    </dxf>
    <dxf>
      <fill>
        <patternFill>
          <bgColor rgb="FFF0E080"/>
        </patternFill>
      </fill>
    </dxf>
    <dxf>
      <fill>
        <patternFill>
          <bgColor rgb="FF00B0F0"/>
        </patternFill>
      </fill>
    </dxf>
    <dxf>
      <fill>
        <patternFill>
          <bgColor theme="9" tint="0.59996337778862885"/>
        </patternFill>
      </fill>
    </dxf>
    <dxf>
      <fill>
        <patternFill>
          <bgColor rgb="FFFFA3D2"/>
        </patternFill>
      </fill>
    </dxf>
    <dxf>
      <fill>
        <patternFill>
          <bgColor rgb="FFF0E080"/>
        </patternFill>
      </fill>
    </dxf>
    <dxf>
      <fill>
        <patternFill>
          <bgColor rgb="FF00B0F0"/>
        </patternFill>
      </fill>
    </dxf>
    <dxf>
      <fill>
        <patternFill>
          <bgColor theme="9" tint="0.59996337778862885"/>
        </patternFill>
      </fill>
    </dxf>
    <dxf>
      <fill>
        <patternFill>
          <bgColor rgb="FFFFA3D2"/>
        </patternFill>
      </fill>
    </dxf>
    <dxf>
      <fill>
        <patternFill>
          <bgColor rgb="FFF0E080"/>
        </patternFill>
      </fill>
    </dxf>
    <dxf>
      <fill>
        <patternFill>
          <bgColor rgb="FF00B0F0"/>
        </patternFill>
      </fill>
    </dxf>
    <dxf>
      <numFmt numFmtId="13" formatCode="0%"/>
    </dxf>
    <dxf>
      <numFmt numFmtId="13" formatCode="0%"/>
    </dxf>
    <dxf>
      <numFmt numFmtId="13" formatCode="0%"/>
    </dxf>
    <dxf>
      <numFmt numFmtId="0" formatCode="General"/>
    </dxf>
    <dxf>
      <numFmt numFmtId="0" formatCode="General"/>
    </dxf>
    <dxf>
      <numFmt numFmtId="1" formatCode="0"/>
    </dxf>
    <dxf>
      <numFmt numFmtId="19" formatCode="m/d/yy"/>
    </dxf>
    <dxf>
      <numFmt numFmtId="19" formatCode="m/d/yy"/>
    </dxf>
    <dxf>
      <numFmt numFmtId="2" formatCode="0.00"/>
    </dxf>
    <dxf>
      <numFmt numFmtId="1" formatCode="0"/>
    </dxf>
    <dxf>
      <alignment horizontal="lef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FFA3D2"/>
      <color rgb="FFF0E080"/>
      <color rgb="FFFF92FF"/>
      <color rgb="FF05DEEE"/>
      <color rgb="FFF8FF5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[CrowdfundingBook-Abegg.xlsx]Outcome per Category!PivotTable1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Campaign Outcomes per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rgbClr val="92D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rgbClr val="FFA3D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rgbClr val="F0E08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'Outcome per 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0E080"/>
            </a:solidFill>
            <a:ln>
              <a:noFill/>
            </a:ln>
            <a:effectLst/>
          </c:spPr>
          <c:invertIfNegative val="0"/>
          <c:cat>
            <c:strRef>
              <c:f>'Outcome per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per Category'!$B$5:$B$14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3FEB-C44C-82F9-50459E70A605}"/>
            </c:ext>
          </c:extLst>
        </c:ser>
        <c:ser>
          <c:idx val="1"/>
          <c:order val="1"/>
          <c:tx>
            <c:strRef>
              <c:f>'Outcome per 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A3D2"/>
            </a:solidFill>
            <a:ln>
              <a:noFill/>
            </a:ln>
            <a:effectLst/>
          </c:spPr>
          <c:invertIfNegative val="0"/>
          <c:cat>
            <c:strRef>
              <c:f>'Outcome per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per Category'!$C$5:$C$14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3FEB-C44C-82F9-50459E70A605}"/>
            </c:ext>
          </c:extLst>
        </c:ser>
        <c:ser>
          <c:idx val="2"/>
          <c:order val="2"/>
          <c:tx>
            <c:strRef>
              <c:f>'Outcome per 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'Outcome per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per Category'!$D$5:$D$14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3FEB-C44C-82F9-50459E70A605}"/>
            </c:ext>
          </c:extLst>
        </c:ser>
        <c:ser>
          <c:idx val="3"/>
          <c:order val="3"/>
          <c:tx>
            <c:strRef>
              <c:f>'Outcome per 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'Outcome per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per Category'!$E$5:$E$14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3FEB-C44C-82F9-50459E70A6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712577296"/>
        <c:axId val="712579008"/>
      </c:barChart>
      <c:catAx>
        <c:axId val="712577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579008"/>
        <c:crosses val="autoZero"/>
        <c:auto val="1"/>
        <c:lblAlgn val="ctr"/>
        <c:lblOffset val="100"/>
        <c:noMultiLvlLbl val="0"/>
      </c:catAx>
      <c:valAx>
        <c:axId val="71257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Campaigns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57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 Funded vs. Campaign</a:t>
            </a:r>
            <a:r>
              <a:rPr lang="en-US" baseline="0"/>
              <a:t> Duration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1"/>
        <c:ser>
          <c:idx val="0"/>
          <c:order val="0"/>
          <c:tx>
            <c:strRef>
              <c:f>'Crowdfunding with calc columns'!$P$1</c:f>
              <c:strCache>
                <c:ptCount val="1"/>
                <c:pt idx="0">
                  <c:v>Length of Campaign</c:v>
                </c:pt>
              </c:strCache>
            </c:strRef>
          </c:tx>
          <c:spPr>
            <a:ln w="25400">
              <a:noFill/>
            </a:ln>
          </c:spPr>
          <c:marker>
            <c:symbol val="circle"/>
            <c:size val="4"/>
            <c:spPr>
              <a:solidFill>
                <a:schemeClr val="accent1">
                  <a:alpha val="47864"/>
                </a:schemeClr>
              </a:solidFill>
              <a:ln>
                <a:noFill/>
              </a:ln>
            </c:spPr>
          </c:marker>
          <c:dPt>
            <c:idx val="0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4632-F841-9FBE-C74FAD04231F}"/>
              </c:ext>
            </c:extLst>
          </c:dPt>
          <c:dPt>
            <c:idx val="1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4632-F841-9FBE-C74FAD04231F}"/>
              </c:ext>
            </c:extLst>
          </c:dPt>
          <c:dPt>
            <c:idx val="2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4632-F841-9FBE-C74FAD04231F}"/>
              </c:ext>
            </c:extLst>
          </c:dPt>
          <c:dPt>
            <c:idx val="3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4632-F841-9FBE-C74FAD04231F}"/>
              </c:ext>
            </c:extLst>
          </c:dPt>
          <c:dPt>
            <c:idx val="4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4632-F841-9FBE-C74FAD04231F}"/>
              </c:ext>
            </c:extLst>
          </c:dPt>
          <c:dPt>
            <c:idx val="5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4632-F841-9FBE-C74FAD04231F}"/>
              </c:ext>
            </c:extLst>
          </c:dPt>
          <c:dPt>
            <c:idx val="6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4632-F841-9FBE-C74FAD04231F}"/>
              </c:ext>
            </c:extLst>
          </c:dPt>
          <c:dPt>
            <c:idx val="7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F-4632-F841-9FBE-C74FAD04231F}"/>
              </c:ext>
            </c:extLst>
          </c:dPt>
          <c:dPt>
            <c:idx val="8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1-4632-F841-9FBE-C74FAD04231F}"/>
              </c:ext>
            </c:extLst>
          </c:dPt>
          <c:dPt>
            <c:idx val="9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3-4632-F841-9FBE-C74FAD04231F}"/>
              </c:ext>
            </c:extLst>
          </c:dPt>
          <c:dPt>
            <c:idx val="10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5-4632-F841-9FBE-C74FAD04231F}"/>
              </c:ext>
            </c:extLst>
          </c:dPt>
          <c:dPt>
            <c:idx val="11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7-4632-F841-9FBE-C74FAD04231F}"/>
              </c:ext>
            </c:extLst>
          </c:dPt>
          <c:dPt>
            <c:idx val="12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9-4632-F841-9FBE-C74FAD04231F}"/>
              </c:ext>
            </c:extLst>
          </c:dPt>
          <c:dPt>
            <c:idx val="13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B-4632-F841-9FBE-C74FAD04231F}"/>
              </c:ext>
            </c:extLst>
          </c:dPt>
          <c:dPt>
            <c:idx val="14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D-4632-F841-9FBE-C74FAD04231F}"/>
              </c:ext>
            </c:extLst>
          </c:dPt>
          <c:dPt>
            <c:idx val="15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F-4632-F841-9FBE-C74FAD04231F}"/>
              </c:ext>
            </c:extLst>
          </c:dPt>
          <c:dPt>
            <c:idx val="16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1-4632-F841-9FBE-C74FAD04231F}"/>
              </c:ext>
            </c:extLst>
          </c:dPt>
          <c:dPt>
            <c:idx val="17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3-4632-F841-9FBE-C74FAD04231F}"/>
              </c:ext>
            </c:extLst>
          </c:dPt>
          <c:dPt>
            <c:idx val="18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5-4632-F841-9FBE-C74FAD04231F}"/>
              </c:ext>
            </c:extLst>
          </c:dPt>
          <c:dPt>
            <c:idx val="19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7-4632-F841-9FBE-C74FAD04231F}"/>
              </c:ext>
            </c:extLst>
          </c:dPt>
          <c:dPt>
            <c:idx val="20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9-4632-F841-9FBE-C74FAD04231F}"/>
              </c:ext>
            </c:extLst>
          </c:dPt>
          <c:dPt>
            <c:idx val="21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B-4632-F841-9FBE-C74FAD04231F}"/>
              </c:ext>
            </c:extLst>
          </c:dPt>
          <c:dPt>
            <c:idx val="22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D-4632-F841-9FBE-C74FAD04231F}"/>
              </c:ext>
            </c:extLst>
          </c:dPt>
          <c:dPt>
            <c:idx val="23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F-4632-F841-9FBE-C74FAD04231F}"/>
              </c:ext>
            </c:extLst>
          </c:dPt>
          <c:dPt>
            <c:idx val="24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1-4632-F841-9FBE-C74FAD04231F}"/>
              </c:ext>
            </c:extLst>
          </c:dPt>
          <c:dPt>
            <c:idx val="25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3-4632-F841-9FBE-C74FAD04231F}"/>
              </c:ext>
            </c:extLst>
          </c:dPt>
          <c:dPt>
            <c:idx val="26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5-4632-F841-9FBE-C74FAD04231F}"/>
              </c:ext>
            </c:extLst>
          </c:dPt>
          <c:dPt>
            <c:idx val="27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7-4632-F841-9FBE-C74FAD04231F}"/>
              </c:ext>
            </c:extLst>
          </c:dPt>
          <c:dPt>
            <c:idx val="28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9-4632-F841-9FBE-C74FAD04231F}"/>
              </c:ext>
            </c:extLst>
          </c:dPt>
          <c:dPt>
            <c:idx val="29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B-4632-F841-9FBE-C74FAD04231F}"/>
              </c:ext>
            </c:extLst>
          </c:dPt>
          <c:dPt>
            <c:idx val="30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D-4632-F841-9FBE-C74FAD04231F}"/>
              </c:ext>
            </c:extLst>
          </c:dPt>
          <c:dPt>
            <c:idx val="31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F-4632-F841-9FBE-C74FAD04231F}"/>
              </c:ext>
            </c:extLst>
          </c:dPt>
          <c:dPt>
            <c:idx val="32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1-4632-F841-9FBE-C74FAD04231F}"/>
              </c:ext>
            </c:extLst>
          </c:dPt>
          <c:dPt>
            <c:idx val="33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3-4632-F841-9FBE-C74FAD04231F}"/>
              </c:ext>
            </c:extLst>
          </c:dPt>
          <c:dPt>
            <c:idx val="34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5-4632-F841-9FBE-C74FAD04231F}"/>
              </c:ext>
            </c:extLst>
          </c:dPt>
          <c:dPt>
            <c:idx val="35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7-4632-F841-9FBE-C74FAD04231F}"/>
              </c:ext>
            </c:extLst>
          </c:dPt>
          <c:dPt>
            <c:idx val="36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9-4632-F841-9FBE-C74FAD04231F}"/>
              </c:ext>
            </c:extLst>
          </c:dPt>
          <c:dPt>
            <c:idx val="37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B-4632-F841-9FBE-C74FAD04231F}"/>
              </c:ext>
            </c:extLst>
          </c:dPt>
          <c:dPt>
            <c:idx val="38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D-4632-F841-9FBE-C74FAD04231F}"/>
              </c:ext>
            </c:extLst>
          </c:dPt>
          <c:dPt>
            <c:idx val="39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F-4632-F841-9FBE-C74FAD04231F}"/>
              </c:ext>
            </c:extLst>
          </c:dPt>
          <c:dPt>
            <c:idx val="40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1-4632-F841-9FBE-C74FAD04231F}"/>
              </c:ext>
            </c:extLst>
          </c:dPt>
          <c:dPt>
            <c:idx val="41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3-4632-F841-9FBE-C74FAD04231F}"/>
              </c:ext>
            </c:extLst>
          </c:dPt>
          <c:dPt>
            <c:idx val="42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5-4632-F841-9FBE-C74FAD04231F}"/>
              </c:ext>
            </c:extLst>
          </c:dPt>
          <c:dPt>
            <c:idx val="43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7-4632-F841-9FBE-C74FAD04231F}"/>
              </c:ext>
            </c:extLst>
          </c:dPt>
          <c:dPt>
            <c:idx val="44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9-4632-F841-9FBE-C74FAD04231F}"/>
              </c:ext>
            </c:extLst>
          </c:dPt>
          <c:dPt>
            <c:idx val="45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B-4632-F841-9FBE-C74FAD04231F}"/>
              </c:ext>
            </c:extLst>
          </c:dPt>
          <c:dPt>
            <c:idx val="46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D-4632-F841-9FBE-C74FAD04231F}"/>
              </c:ext>
            </c:extLst>
          </c:dPt>
          <c:dPt>
            <c:idx val="47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F-4632-F841-9FBE-C74FAD04231F}"/>
              </c:ext>
            </c:extLst>
          </c:dPt>
          <c:dPt>
            <c:idx val="48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1-4632-F841-9FBE-C74FAD04231F}"/>
              </c:ext>
            </c:extLst>
          </c:dPt>
          <c:dPt>
            <c:idx val="49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3-4632-F841-9FBE-C74FAD04231F}"/>
              </c:ext>
            </c:extLst>
          </c:dPt>
          <c:dPt>
            <c:idx val="50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5-4632-F841-9FBE-C74FAD04231F}"/>
              </c:ext>
            </c:extLst>
          </c:dPt>
          <c:dPt>
            <c:idx val="51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7-4632-F841-9FBE-C74FAD04231F}"/>
              </c:ext>
            </c:extLst>
          </c:dPt>
          <c:dPt>
            <c:idx val="52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9-4632-F841-9FBE-C74FAD04231F}"/>
              </c:ext>
            </c:extLst>
          </c:dPt>
          <c:dPt>
            <c:idx val="53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B-4632-F841-9FBE-C74FAD04231F}"/>
              </c:ext>
            </c:extLst>
          </c:dPt>
          <c:dPt>
            <c:idx val="54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D-4632-F841-9FBE-C74FAD04231F}"/>
              </c:ext>
            </c:extLst>
          </c:dPt>
          <c:dPt>
            <c:idx val="55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F-4632-F841-9FBE-C74FAD04231F}"/>
              </c:ext>
            </c:extLst>
          </c:dPt>
          <c:dPt>
            <c:idx val="56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71-4632-F841-9FBE-C74FAD04231F}"/>
              </c:ext>
            </c:extLst>
          </c:dPt>
          <c:dPt>
            <c:idx val="57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73-4632-F841-9FBE-C74FAD04231F}"/>
              </c:ext>
            </c:extLst>
          </c:dPt>
          <c:dPt>
            <c:idx val="58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75-4632-F841-9FBE-C74FAD04231F}"/>
              </c:ext>
            </c:extLst>
          </c:dPt>
          <c:dPt>
            <c:idx val="59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77-4632-F841-9FBE-C74FAD04231F}"/>
              </c:ext>
            </c:extLst>
          </c:dPt>
          <c:dPt>
            <c:idx val="60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79-4632-F841-9FBE-C74FAD04231F}"/>
              </c:ext>
            </c:extLst>
          </c:dPt>
          <c:dPt>
            <c:idx val="61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7B-4632-F841-9FBE-C74FAD04231F}"/>
              </c:ext>
            </c:extLst>
          </c:dPt>
          <c:dPt>
            <c:idx val="62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7D-4632-F841-9FBE-C74FAD04231F}"/>
              </c:ext>
            </c:extLst>
          </c:dPt>
          <c:dPt>
            <c:idx val="63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7F-4632-F841-9FBE-C74FAD04231F}"/>
              </c:ext>
            </c:extLst>
          </c:dPt>
          <c:dPt>
            <c:idx val="64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81-4632-F841-9FBE-C74FAD04231F}"/>
              </c:ext>
            </c:extLst>
          </c:dPt>
          <c:dPt>
            <c:idx val="65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83-4632-F841-9FBE-C74FAD04231F}"/>
              </c:ext>
            </c:extLst>
          </c:dPt>
          <c:dPt>
            <c:idx val="66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85-4632-F841-9FBE-C74FAD04231F}"/>
              </c:ext>
            </c:extLst>
          </c:dPt>
          <c:dPt>
            <c:idx val="67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87-4632-F841-9FBE-C74FAD04231F}"/>
              </c:ext>
            </c:extLst>
          </c:dPt>
          <c:dPt>
            <c:idx val="68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89-4632-F841-9FBE-C74FAD04231F}"/>
              </c:ext>
            </c:extLst>
          </c:dPt>
          <c:dPt>
            <c:idx val="69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8B-4632-F841-9FBE-C74FAD04231F}"/>
              </c:ext>
            </c:extLst>
          </c:dPt>
          <c:dPt>
            <c:idx val="70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8D-4632-F841-9FBE-C74FAD04231F}"/>
              </c:ext>
            </c:extLst>
          </c:dPt>
          <c:dPt>
            <c:idx val="71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8F-4632-F841-9FBE-C74FAD04231F}"/>
              </c:ext>
            </c:extLst>
          </c:dPt>
          <c:dPt>
            <c:idx val="72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91-4632-F841-9FBE-C74FAD04231F}"/>
              </c:ext>
            </c:extLst>
          </c:dPt>
          <c:dPt>
            <c:idx val="73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93-4632-F841-9FBE-C74FAD04231F}"/>
              </c:ext>
            </c:extLst>
          </c:dPt>
          <c:dPt>
            <c:idx val="74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95-4632-F841-9FBE-C74FAD04231F}"/>
              </c:ext>
            </c:extLst>
          </c:dPt>
          <c:dPt>
            <c:idx val="75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97-4632-F841-9FBE-C74FAD04231F}"/>
              </c:ext>
            </c:extLst>
          </c:dPt>
          <c:dPt>
            <c:idx val="76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99-4632-F841-9FBE-C74FAD04231F}"/>
              </c:ext>
            </c:extLst>
          </c:dPt>
          <c:dPt>
            <c:idx val="77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9B-4632-F841-9FBE-C74FAD04231F}"/>
              </c:ext>
            </c:extLst>
          </c:dPt>
          <c:dPt>
            <c:idx val="78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9D-4632-F841-9FBE-C74FAD04231F}"/>
              </c:ext>
            </c:extLst>
          </c:dPt>
          <c:dPt>
            <c:idx val="79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9F-4632-F841-9FBE-C74FAD04231F}"/>
              </c:ext>
            </c:extLst>
          </c:dPt>
          <c:dPt>
            <c:idx val="80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A1-4632-F841-9FBE-C74FAD04231F}"/>
              </c:ext>
            </c:extLst>
          </c:dPt>
          <c:dPt>
            <c:idx val="81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A3-4632-F841-9FBE-C74FAD04231F}"/>
              </c:ext>
            </c:extLst>
          </c:dPt>
          <c:dPt>
            <c:idx val="82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A5-4632-F841-9FBE-C74FAD04231F}"/>
              </c:ext>
            </c:extLst>
          </c:dPt>
          <c:dPt>
            <c:idx val="83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A7-4632-F841-9FBE-C74FAD04231F}"/>
              </c:ext>
            </c:extLst>
          </c:dPt>
          <c:dPt>
            <c:idx val="84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A9-4632-F841-9FBE-C74FAD04231F}"/>
              </c:ext>
            </c:extLst>
          </c:dPt>
          <c:dPt>
            <c:idx val="85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AB-4632-F841-9FBE-C74FAD04231F}"/>
              </c:ext>
            </c:extLst>
          </c:dPt>
          <c:dPt>
            <c:idx val="86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AD-4632-F841-9FBE-C74FAD04231F}"/>
              </c:ext>
            </c:extLst>
          </c:dPt>
          <c:dPt>
            <c:idx val="87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AF-4632-F841-9FBE-C74FAD04231F}"/>
              </c:ext>
            </c:extLst>
          </c:dPt>
          <c:dPt>
            <c:idx val="88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1-4632-F841-9FBE-C74FAD04231F}"/>
              </c:ext>
            </c:extLst>
          </c:dPt>
          <c:dPt>
            <c:idx val="89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3-4632-F841-9FBE-C74FAD04231F}"/>
              </c:ext>
            </c:extLst>
          </c:dPt>
          <c:dPt>
            <c:idx val="90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5-4632-F841-9FBE-C74FAD04231F}"/>
              </c:ext>
            </c:extLst>
          </c:dPt>
          <c:dPt>
            <c:idx val="91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7-4632-F841-9FBE-C74FAD04231F}"/>
              </c:ext>
            </c:extLst>
          </c:dPt>
          <c:dPt>
            <c:idx val="92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9-4632-F841-9FBE-C74FAD04231F}"/>
              </c:ext>
            </c:extLst>
          </c:dPt>
          <c:dPt>
            <c:idx val="93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B-4632-F841-9FBE-C74FAD04231F}"/>
              </c:ext>
            </c:extLst>
          </c:dPt>
          <c:dPt>
            <c:idx val="94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D-4632-F841-9FBE-C74FAD04231F}"/>
              </c:ext>
            </c:extLst>
          </c:dPt>
          <c:dPt>
            <c:idx val="95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F-4632-F841-9FBE-C74FAD04231F}"/>
              </c:ext>
            </c:extLst>
          </c:dPt>
          <c:dPt>
            <c:idx val="96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1-4632-F841-9FBE-C74FAD04231F}"/>
              </c:ext>
            </c:extLst>
          </c:dPt>
          <c:dPt>
            <c:idx val="97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3-4632-F841-9FBE-C74FAD04231F}"/>
              </c:ext>
            </c:extLst>
          </c:dPt>
          <c:dPt>
            <c:idx val="98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5-4632-F841-9FBE-C74FAD04231F}"/>
              </c:ext>
            </c:extLst>
          </c:dPt>
          <c:dPt>
            <c:idx val="99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7-4632-F841-9FBE-C74FAD04231F}"/>
              </c:ext>
            </c:extLst>
          </c:dPt>
          <c:dPt>
            <c:idx val="100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9-4632-F841-9FBE-C74FAD04231F}"/>
              </c:ext>
            </c:extLst>
          </c:dPt>
          <c:dPt>
            <c:idx val="101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B-4632-F841-9FBE-C74FAD04231F}"/>
              </c:ext>
            </c:extLst>
          </c:dPt>
          <c:dPt>
            <c:idx val="102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D-4632-F841-9FBE-C74FAD04231F}"/>
              </c:ext>
            </c:extLst>
          </c:dPt>
          <c:dPt>
            <c:idx val="103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F-4632-F841-9FBE-C74FAD04231F}"/>
              </c:ext>
            </c:extLst>
          </c:dPt>
          <c:dPt>
            <c:idx val="104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1-4632-F841-9FBE-C74FAD04231F}"/>
              </c:ext>
            </c:extLst>
          </c:dPt>
          <c:dPt>
            <c:idx val="105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3-4632-F841-9FBE-C74FAD04231F}"/>
              </c:ext>
            </c:extLst>
          </c:dPt>
          <c:dPt>
            <c:idx val="106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5-4632-F841-9FBE-C74FAD04231F}"/>
              </c:ext>
            </c:extLst>
          </c:dPt>
          <c:dPt>
            <c:idx val="107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7-4632-F841-9FBE-C74FAD04231F}"/>
              </c:ext>
            </c:extLst>
          </c:dPt>
          <c:dPt>
            <c:idx val="108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9-4632-F841-9FBE-C74FAD04231F}"/>
              </c:ext>
            </c:extLst>
          </c:dPt>
          <c:dPt>
            <c:idx val="109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B-4632-F841-9FBE-C74FAD04231F}"/>
              </c:ext>
            </c:extLst>
          </c:dPt>
          <c:dPt>
            <c:idx val="110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D-4632-F841-9FBE-C74FAD04231F}"/>
              </c:ext>
            </c:extLst>
          </c:dPt>
          <c:dPt>
            <c:idx val="111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F-4632-F841-9FBE-C74FAD04231F}"/>
              </c:ext>
            </c:extLst>
          </c:dPt>
          <c:dPt>
            <c:idx val="112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1-4632-F841-9FBE-C74FAD04231F}"/>
              </c:ext>
            </c:extLst>
          </c:dPt>
          <c:dPt>
            <c:idx val="113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3-4632-F841-9FBE-C74FAD04231F}"/>
              </c:ext>
            </c:extLst>
          </c:dPt>
          <c:dPt>
            <c:idx val="114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5-4632-F841-9FBE-C74FAD04231F}"/>
              </c:ext>
            </c:extLst>
          </c:dPt>
          <c:dPt>
            <c:idx val="115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7-4632-F841-9FBE-C74FAD04231F}"/>
              </c:ext>
            </c:extLst>
          </c:dPt>
          <c:dPt>
            <c:idx val="116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9-4632-F841-9FBE-C74FAD04231F}"/>
              </c:ext>
            </c:extLst>
          </c:dPt>
          <c:dPt>
            <c:idx val="117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B-4632-F841-9FBE-C74FAD04231F}"/>
              </c:ext>
            </c:extLst>
          </c:dPt>
          <c:dPt>
            <c:idx val="118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D-4632-F841-9FBE-C74FAD04231F}"/>
              </c:ext>
            </c:extLst>
          </c:dPt>
          <c:dPt>
            <c:idx val="119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F-4632-F841-9FBE-C74FAD04231F}"/>
              </c:ext>
            </c:extLst>
          </c:dPt>
          <c:dPt>
            <c:idx val="120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1-4632-F841-9FBE-C74FAD04231F}"/>
              </c:ext>
            </c:extLst>
          </c:dPt>
          <c:dPt>
            <c:idx val="121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3-4632-F841-9FBE-C74FAD04231F}"/>
              </c:ext>
            </c:extLst>
          </c:dPt>
          <c:dPt>
            <c:idx val="122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5-4632-F841-9FBE-C74FAD04231F}"/>
              </c:ext>
            </c:extLst>
          </c:dPt>
          <c:dPt>
            <c:idx val="123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7-4632-F841-9FBE-C74FAD04231F}"/>
              </c:ext>
            </c:extLst>
          </c:dPt>
          <c:dPt>
            <c:idx val="124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9-4632-F841-9FBE-C74FAD04231F}"/>
              </c:ext>
            </c:extLst>
          </c:dPt>
          <c:dPt>
            <c:idx val="125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B-4632-F841-9FBE-C74FAD04231F}"/>
              </c:ext>
            </c:extLst>
          </c:dPt>
          <c:dPt>
            <c:idx val="126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D-4632-F841-9FBE-C74FAD04231F}"/>
              </c:ext>
            </c:extLst>
          </c:dPt>
          <c:dPt>
            <c:idx val="127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F-4632-F841-9FBE-C74FAD04231F}"/>
              </c:ext>
            </c:extLst>
          </c:dPt>
          <c:dPt>
            <c:idx val="128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1-4632-F841-9FBE-C74FAD04231F}"/>
              </c:ext>
            </c:extLst>
          </c:dPt>
          <c:dPt>
            <c:idx val="129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3-4632-F841-9FBE-C74FAD04231F}"/>
              </c:ext>
            </c:extLst>
          </c:dPt>
          <c:dPt>
            <c:idx val="130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5-4632-F841-9FBE-C74FAD04231F}"/>
              </c:ext>
            </c:extLst>
          </c:dPt>
          <c:dPt>
            <c:idx val="131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7-4632-F841-9FBE-C74FAD04231F}"/>
              </c:ext>
            </c:extLst>
          </c:dPt>
          <c:dPt>
            <c:idx val="132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9-4632-F841-9FBE-C74FAD04231F}"/>
              </c:ext>
            </c:extLst>
          </c:dPt>
          <c:dPt>
            <c:idx val="133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B-4632-F841-9FBE-C74FAD04231F}"/>
              </c:ext>
            </c:extLst>
          </c:dPt>
          <c:dPt>
            <c:idx val="134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D-4632-F841-9FBE-C74FAD04231F}"/>
              </c:ext>
            </c:extLst>
          </c:dPt>
          <c:dPt>
            <c:idx val="135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F-4632-F841-9FBE-C74FAD04231F}"/>
              </c:ext>
            </c:extLst>
          </c:dPt>
          <c:dPt>
            <c:idx val="136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1-4632-F841-9FBE-C74FAD04231F}"/>
              </c:ext>
            </c:extLst>
          </c:dPt>
          <c:dPt>
            <c:idx val="137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3-4632-F841-9FBE-C74FAD04231F}"/>
              </c:ext>
            </c:extLst>
          </c:dPt>
          <c:dPt>
            <c:idx val="138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5-4632-F841-9FBE-C74FAD04231F}"/>
              </c:ext>
            </c:extLst>
          </c:dPt>
          <c:dPt>
            <c:idx val="139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7-4632-F841-9FBE-C74FAD04231F}"/>
              </c:ext>
            </c:extLst>
          </c:dPt>
          <c:dPt>
            <c:idx val="140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9-4632-F841-9FBE-C74FAD04231F}"/>
              </c:ext>
            </c:extLst>
          </c:dPt>
          <c:dPt>
            <c:idx val="141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B-4632-F841-9FBE-C74FAD04231F}"/>
              </c:ext>
            </c:extLst>
          </c:dPt>
          <c:dPt>
            <c:idx val="142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D-4632-F841-9FBE-C74FAD04231F}"/>
              </c:ext>
            </c:extLst>
          </c:dPt>
          <c:dPt>
            <c:idx val="143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F-4632-F841-9FBE-C74FAD04231F}"/>
              </c:ext>
            </c:extLst>
          </c:dPt>
          <c:dPt>
            <c:idx val="144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21-4632-F841-9FBE-C74FAD04231F}"/>
              </c:ext>
            </c:extLst>
          </c:dPt>
          <c:dPt>
            <c:idx val="145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23-4632-F841-9FBE-C74FAD04231F}"/>
              </c:ext>
            </c:extLst>
          </c:dPt>
          <c:dPt>
            <c:idx val="146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25-4632-F841-9FBE-C74FAD04231F}"/>
              </c:ext>
            </c:extLst>
          </c:dPt>
          <c:dPt>
            <c:idx val="147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27-4632-F841-9FBE-C74FAD04231F}"/>
              </c:ext>
            </c:extLst>
          </c:dPt>
          <c:dPt>
            <c:idx val="148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29-4632-F841-9FBE-C74FAD04231F}"/>
              </c:ext>
            </c:extLst>
          </c:dPt>
          <c:dPt>
            <c:idx val="149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2B-4632-F841-9FBE-C74FAD04231F}"/>
              </c:ext>
            </c:extLst>
          </c:dPt>
          <c:dPt>
            <c:idx val="150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2D-4632-F841-9FBE-C74FAD04231F}"/>
              </c:ext>
            </c:extLst>
          </c:dPt>
          <c:dPt>
            <c:idx val="151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2F-4632-F841-9FBE-C74FAD04231F}"/>
              </c:ext>
            </c:extLst>
          </c:dPt>
          <c:dPt>
            <c:idx val="152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31-4632-F841-9FBE-C74FAD04231F}"/>
              </c:ext>
            </c:extLst>
          </c:dPt>
          <c:dPt>
            <c:idx val="153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33-4632-F841-9FBE-C74FAD04231F}"/>
              </c:ext>
            </c:extLst>
          </c:dPt>
          <c:dPt>
            <c:idx val="154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35-4632-F841-9FBE-C74FAD04231F}"/>
              </c:ext>
            </c:extLst>
          </c:dPt>
          <c:dPt>
            <c:idx val="155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37-4632-F841-9FBE-C74FAD04231F}"/>
              </c:ext>
            </c:extLst>
          </c:dPt>
          <c:dPt>
            <c:idx val="156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39-4632-F841-9FBE-C74FAD04231F}"/>
              </c:ext>
            </c:extLst>
          </c:dPt>
          <c:dPt>
            <c:idx val="157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3B-4632-F841-9FBE-C74FAD04231F}"/>
              </c:ext>
            </c:extLst>
          </c:dPt>
          <c:dPt>
            <c:idx val="158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3D-4632-F841-9FBE-C74FAD04231F}"/>
              </c:ext>
            </c:extLst>
          </c:dPt>
          <c:dPt>
            <c:idx val="159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3F-4632-F841-9FBE-C74FAD04231F}"/>
              </c:ext>
            </c:extLst>
          </c:dPt>
          <c:dPt>
            <c:idx val="160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41-4632-F841-9FBE-C74FAD04231F}"/>
              </c:ext>
            </c:extLst>
          </c:dPt>
          <c:dPt>
            <c:idx val="161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43-4632-F841-9FBE-C74FAD04231F}"/>
              </c:ext>
            </c:extLst>
          </c:dPt>
          <c:dPt>
            <c:idx val="162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45-4632-F841-9FBE-C74FAD04231F}"/>
              </c:ext>
            </c:extLst>
          </c:dPt>
          <c:dPt>
            <c:idx val="163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47-4632-F841-9FBE-C74FAD04231F}"/>
              </c:ext>
            </c:extLst>
          </c:dPt>
          <c:dPt>
            <c:idx val="164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49-4632-F841-9FBE-C74FAD04231F}"/>
              </c:ext>
            </c:extLst>
          </c:dPt>
          <c:dPt>
            <c:idx val="165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4B-4632-F841-9FBE-C74FAD04231F}"/>
              </c:ext>
            </c:extLst>
          </c:dPt>
          <c:dPt>
            <c:idx val="166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4D-4632-F841-9FBE-C74FAD04231F}"/>
              </c:ext>
            </c:extLst>
          </c:dPt>
          <c:dPt>
            <c:idx val="167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4F-4632-F841-9FBE-C74FAD04231F}"/>
              </c:ext>
            </c:extLst>
          </c:dPt>
          <c:dPt>
            <c:idx val="168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51-4632-F841-9FBE-C74FAD04231F}"/>
              </c:ext>
            </c:extLst>
          </c:dPt>
          <c:dPt>
            <c:idx val="169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53-4632-F841-9FBE-C74FAD04231F}"/>
              </c:ext>
            </c:extLst>
          </c:dPt>
          <c:dPt>
            <c:idx val="170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55-4632-F841-9FBE-C74FAD04231F}"/>
              </c:ext>
            </c:extLst>
          </c:dPt>
          <c:dPt>
            <c:idx val="171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57-4632-F841-9FBE-C74FAD04231F}"/>
              </c:ext>
            </c:extLst>
          </c:dPt>
          <c:dPt>
            <c:idx val="172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59-4632-F841-9FBE-C74FAD04231F}"/>
              </c:ext>
            </c:extLst>
          </c:dPt>
          <c:dPt>
            <c:idx val="173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5B-4632-F841-9FBE-C74FAD04231F}"/>
              </c:ext>
            </c:extLst>
          </c:dPt>
          <c:dPt>
            <c:idx val="174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5D-4632-F841-9FBE-C74FAD04231F}"/>
              </c:ext>
            </c:extLst>
          </c:dPt>
          <c:dPt>
            <c:idx val="175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5F-4632-F841-9FBE-C74FAD04231F}"/>
              </c:ext>
            </c:extLst>
          </c:dPt>
          <c:dPt>
            <c:idx val="176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61-4632-F841-9FBE-C74FAD04231F}"/>
              </c:ext>
            </c:extLst>
          </c:dPt>
          <c:dPt>
            <c:idx val="177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63-4632-F841-9FBE-C74FAD04231F}"/>
              </c:ext>
            </c:extLst>
          </c:dPt>
          <c:dPt>
            <c:idx val="178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65-4632-F841-9FBE-C74FAD04231F}"/>
              </c:ext>
            </c:extLst>
          </c:dPt>
          <c:dPt>
            <c:idx val="179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67-4632-F841-9FBE-C74FAD04231F}"/>
              </c:ext>
            </c:extLst>
          </c:dPt>
          <c:dPt>
            <c:idx val="180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69-4632-F841-9FBE-C74FAD04231F}"/>
              </c:ext>
            </c:extLst>
          </c:dPt>
          <c:dPt>
            <c:idx val="181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6B-4632-F841-9FBE-C74FAD04231F}"/>
              </c:ext>
            </c:extLst>
          </c:dPt>
          <c:dPt>
            <c:idx val="182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6D-4632-F841-9FBE-C74FAD04231F}"/>
              </c:ext>
            </c:extLst>
          </c:dPt>
          <c:dPt>
            <c:idx val="183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6F-4632-F841-9FBE-C74FAD04231F}"/>
              </c:ext>
            </c:extLst>
          </c:dPt>
          <c:dPt>
            <c:idx val="184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71-4632-F841-9FBE-C74FAD04231F}"/>
              </c:ext>
            </c:extLst>
          </c:dPt>
          <c:dPt>
            <c:idx val="185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73-4632-F841-9FBE-C74FAD04231F}"/>
              </c:ext>
            </c:extLst>
          </c:dPt>
          <c:dPt>
            <c:idx val="186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75-4632-F841-9FBE-C74FAD04231F}"/>
              </c:ext>
            </c:extLst>
          </c:dPt>
          <c:dPt>
            <c:idx val="187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77-4632-F841-9FBE-C74FAD04231F}"/>
              </c:ext>
            </c:extLst>
          </c:dPt>
          <c:dPt>
            <c:idx val="188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79-4632-F841-9FBE-C74FAD04231F}"/>
              </c:ext>
            </c:extLst>
          </c:dPt>
          <c:dPt>
            <c:idx val="189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7B-4632-F841-9FBE-C74FAD04231F}"/>
              </c:ext>
            </c:extLst>
          </c:dPt>
          <c:dPt>
            <c:idx val="190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7D-4632-F841-9FBE-C74FAD04231F}"/>
              </c:ext>
            </c:extLst>
          </c:dPt>
          <c:dPt>
            <c:idx val="191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7F-4632-F841-9FBE-C74FAD04231F}"/>
              </c:ext>
            </c:extLst>
          </c:dPt>
          <c:dPt>
            <c:idx val="192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81-4632-F841-9FBE-C74FAD04231F}"/>
              </c:ext>
            </c:extLst>
          </c:dPt>
          <c:dPt>
            <c:idx val="193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83-4632-F841-9FBE-C74FAD04231F}"/>
              </c:ext>
            </c:extLst>
          </c:dPt>
          <c:dPt>
            <c:idx val="194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85-4632-F841-9FBE-C74FAD04231F}"/>
              </c:ext>
            </c:extLst>
          </c:dPt>
          <c:dPt>
            <c:idx val="195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87-4632-F841-9FBE-C74FAD04231F}"/>
              </c:ext>
            </c:extLst>
          </c:dPt>
          <c:dPt>
            <c:idx val="196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89-4632-F841-9FBE-C74FAD04231F}"/>
              </c:ext>
            </c:extLst>
          </c:dPt>
          <c:dPt>
            <c:idx val="197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8B-4632-F841-9FBE-C74FAD04231F}"/>
              </c:ext>
            </c:extLst>
          </c:dPt>
          <c:dPt>
            <c:idx val="198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8D-4632-F841-9FBE-C74FAD04231F}"/>
              </c:ext>
            </c:extLst>
          </c:dPt>
          <c:dPt>
            <c:idx val="199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8F-4632-F841-9FBE-C74FAD04231F}"/>
              </c:ext>
            </c:extLst>
          </c:dPt>
          <c:dPt>
            <c:idx val="200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91-4632-F841-9FBE-C74FAD04231F}"/>
              </c:ext>
            </c:extLst>
          </c:dPt>
          <c:dPt>
            <c:idx val="201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93-4632-F841-9FBE-C74FAD04231F}"/>
              </c:ext>
            </c:extLst>
          </c:dPt>
          <c:dPt>
            <c:idx val="202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95-4632-F841-9FBE-C74FAD04231F}"/>
              </c:ext>
            </c:extLst>
          </c:dPt>
          <c:dPt>
            <c:idx val="203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97-4632-F841-9FBE-C74FAD04231F}"/>
              </c:ext>
            </c:extLst>
          </c:dPt>
          <c:dPt>
            <c:idx val="204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99-4632-F841-9FBE-C74FAD04231F}"/>
              </c:ext>
            </c:extLst>
          </c:dPt>
          <c:dPt>
            <c:idx val="205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9B-4632-F841-9FBE-C74FAD04231F}"/>
              </c:ext>
            </c:extLst>
          </c:dPt>
          <c:dPt>
            <c:idx val="206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9D-4632-F841-9FBE-C74FAD04231F}"/>
              </c:ext>
            </c:extLst>
          </c:dPt>
          <c:dPt>
            <c:idx val="207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9F-4632-F841-9FBE-C74FAD04231F}"/>
              </c:ext>
            </c:extLst>
          </c:dPt>
          <c:dPt>
            <c:idx val="208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A1-4632-F841-9FBE-C74FAD04231F}"/>
              </c:ext>
            </c:extLst>
          </c:dPt>
          <c:dPt>
            <c:idx val="209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A3-4632-F841-9FBE-C74FAD04231F}"/>
              </c:ext>
            </c:extLst>
          </c:dPt>
          <c:dPt>
            <c:idx val="210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A5-4632-F841-9FBE-C74FAD04231F}"/>
              </c:ext>
            </c:extLst>
          </c:dPt>
          <c:dPt>
            <c:idx val="211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A7-4632-F841-9FBE-C74FAD04231F}"/>
              </c:ext>
            </c:extLst>
          </c:dPt>
          <c:dPt>
            <c:idx val="212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A9-4632-F841-9FBE-C74FAD04231F}"/>
              </c:ext>
            </c:extLst>
          </c:dPt>
          <c:dPt>
            <c:idx val="213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AB-4632-F841-9FBE-C74FAD04231F}"/>
              </c:ext>
            </c:extLst>
          </c:dPt>
          <c:dPt>
            <c:idx val="214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AD-4632-F841-9FBE-C74FAD04231F}"/>
              </c:ext>
            </c:extLst>
          </c:dPt>
          <c:dPt>
            <c:idx val="215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AF-4632-F841-9FBE-C74FAD04231F}"/>
              </c:ext>
            </c:extLst>
          </c:dPt>
          <c:dPt>
            <c:idx val="216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B1-4632-F841-9FBE-C74FAD04231F}"/>
              </c:ext>
            </c:extLst>
          </c:dPt>
          <c:dPt>
            <c:idx val="217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B3-4632-F841-9FBE-C74FAD04231F}"/>
              </c:ext>
            </c:extLst>
          </c:dPt>
          <c:dPt>
            <c:idx val="218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B5-4632-F841-9FBE-C74FAD04231F}"/>
              </c:ext>
            </c:extLst>
          </c:dPt>
          <c:dPt>
            <c:idx val="219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B7-4632-F841-9FBE-C74FAD04231F}"/>
              </c:ext>
            </c:extLst>
          </c:dPt>
          <c:dPt>
            <c:idx val="220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B9-4632-F841-9FBE-C74FAD04231F}"/>
              </c:ext>
            </c:extLst>
          </c:dPt>
          <c:dPt>
            <c:idx val="221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BB-4632-F841-9FBE-C74FAD04231F}"/>
              </c:ext>
            </c:extLst>
          </c:dPt>
          <c:dPt>
            <c:idx val="222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BD-4632-F841-9FBE-C74FAD04231F}"/>
              </c:ext>
            </c:extLst>
          </c:dPt>
          <c:dPt>
            <c:idx val="223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BF-4632-F841-9FBE-C74FAD04231F}"/>
              </c:ext>
            </c:extLst>
          </c:dPt>
          <c:dPt>
            <c:idx val="224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C1-4632-F841-9FBE-C74FAD04231F}"/>
              </c:ext>
            </c:extLst>
          </c:dPt>
          <c:dPt>
            <c:idx val="225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C3-4632-F841-9FBE-C74FAD04231F}"/>
              </c:ext>
            </c:extLst>
          </c:dPt>
          <c:dPt>
            <c:idx val="226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C5-4632-F841-9FBE-C74FAD04231F}"/>
              </c:ext>
            </c:extLst>
          </c:dPt>
          <c:dPt>
            <c:idx val="227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C7-4632-F841-9FBE-C74FAD04231F}"/>
              </c:ext>
            </c:extLst>
          </c:dPt>
          <c:dPt>
            <c:idx val="228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C9-4632-F841-9FBE-C74FAD04231F}"/>
              </c:ext>
            </c:extLst>
          </c:dPt>
          <c:dPt>
            <c:idx val="229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CB-4632-F841-9FBE-C74FAD04231F}"/>
              </c:ext>
            </c:extLst>
          </c:dPt>
          <c:dPt>
            <c:idx val="230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CD-4632-F841-9FBE-C74FAD04231F}"/>
              </c:ext>
            </c:extLst>
          </c:dPt>
          <c:dPt>
            <c:idx val="231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CF-4632-F841-9FBE-C74FAD04231F}"/>
              </c:ext>
            </c:extLst>
          </c:dPt>
          <c:dPt>
            <c:idx val="232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D1-4632-F841-9FBE-C74FAD04231F}"/>
              </c:ext>
            </c:extLst>
          </c:dPt>
          <c:dPt>
            <c:idx val="233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D3-4632-F841-9FBE-C74FAD04231F}"/>
              </c:ext>
            </c:extLst>
          </c:dPt>
          <c:dPt>
            <c:idx val="234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D5-4632-F841-9FBE-C74FAD04231F}"/>
              </c:ext>
            </c:extLst>
          </c:dPt>
          <c:dPt>
            <c:idx val="235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D7-4632-F841-9FBE-C74FAD04231F}"/>
              </c:ext>
            </c:extLst>
          </c:dPt>
          <c:dPt>
            <c:idx val="236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D9-4632-F841-9FBE-C74FAD04231F}"/>
              </c:ext>
            </c:extLst>
          </c:dPt>
          <c:dPt>
            <c:idx val="237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DB-4632-F841-9FBE-C74FAD04231F}"/>
              </c:ext>
            </c:extLst>
          </c:dPt>
          <c:dPt>
            <c:idx val="238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DD-4632-F841-9FBE-C74FAD04231F}"/>
              </c:ext>
            </c:extLst>
          </c:dPt>
          <c:dPt>
            <c:idx val="239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DF-4632-F841-9FBE-C74FAD04231F}"/>
              </c:ext>
            </c:extLst>
          </c:dPt>
          <c:dPt>
            <c:idx val="240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E1-4632-F841-9FBE-C74FAD04231F}"/>
              </c:ext>
            </c:extLst>
          </c:dPt>
          <c:dPt>
            <c:idx val="241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E3-4632-F841-9FBE-C74FAD04231F}"/>
              </c:ext>
            </c:extLst>
          </c:dPt>
          <c:dPt>
            <c:idx val="242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E5-4632-F841-9FBE-C74FAD04231F}"/>
              </c:ext>
            </c:extLst>
          </c:dPt>
          <c:dPt>
            <c:idx val="243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E7-4632-F841-9FBE-C74FAD04231F}"/>
              </c:ext>
            </c:extLst>
          </c:dPt>
          <c:dPt>
            <c:idx val="244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E9-4632-F841-9FBE-C74FAD04231F}"/>
              </c:ext>
            </c:extLst>
          </c:dPt>
          <c:dPt>
            <c:idx val="245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EB-4632-F841-9FBE-C74FAD04231F}"/>
              </c:ext>
            </c:extLst>
          </c:dPt>
          <c:dPt>
            <c:idx val="246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ED-4632-F841-9FBE-C74FAD04231F}"/>
              </c:ext>
            </c:extLst>
          </c:dPt>
          <c:dPt>
            <c:idx val="247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EF-4632-F841-9FBE-C74FAD04231F}"/>
              </c:ext>
            </c:extLst>
          </c:dPt>
          <c:dPt>
            <c:idx val="248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F1-4632-F841-9FBE-C74FAD04231F}"/>
              </c:ext>
            </c:extLst>
          </c:dPt>
          <c:dPt>
            <c:idx val="249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F3-4632-F841-9FBE-C74FAD04231F}"/>
              </c:ext>
            </c:extLst>
          </c:dPt>
          <c:dPt>
            <c:idx val="250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F5-4632-F841-9FBE-C74FAD04231F}"/>
              </c:ext>
            </c:extLst>
          </c:dPt>
          <c:dPt>
            <c:idx val="251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F7-4632-F841-9FBE-C74FAD04231F}"/>
              </c:ext>
            </c:extLst>
          </c:dPt>
          <c:dPt>
            <c:idx val="252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F9-4632-F841-9FBE-C74FAD04231F}"/>
              </c:ext>
            </c:extLst>
          </c:dPt>
          <c:dPt>
            <c:idx val="253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FB-4632-F841-9FBE-C74FAD04231F}"/>
              </c:ext>
            </c:extLst>
          </c:dPt>
          <c:dPt>
            <c:idx val="254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FD-4632-F841-9FBE-C74FAD04231F}"/>
              </c:ext>
            </c:extLst>
          </c:dPt>
          <c:dPt>
            <c:idx val="255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FF-4632-F841-9FBE-C74FAD04231F}"/>
              </c:ext>
            </c:extLst>
          </c:dPt>
          <c:dPt>
            <c:idx val="256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201-4632-F841-9FBE-C74FAD04231F}"/>
              </c:ext>
            </c:extLst>
          </c:dPt>
          <c:dPt>
            <c:idx val="257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203-4632-F841-9FBE-C74FAD04231F}"/>
              </c:ext>
            </c:extLst>
          </c:dPt>
          <c:dPt>
            <c:idx val="258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205-4632-F841-9FBE-C74FAD04231F}"/>
              </c:ext>
            </c:extLst>
          </c:dPt>
          <c:dPt>
            <c:idx val="259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207-4632-F841-9FBE-C74FAD04231F}"/>
              </c:ext>
            </c:extLst>
          </c:dPt>
          <c:dPt>
            <c:idx val="260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209-4632-F841-9FBE-C74FAD04231F}"/>
              </c:ext>
            </c:extLst>
          </c:dPt>
          <c:dPt>
            <c:idx val="261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20B-4632-F841-9FBE-C74FAD04231F}"/>
              </c:ext>
            </c:extLst>
          </c:dPt>
          <c:dPt>
            <c:idx val="262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20D-4632-F841-9FBE-C74FAD04231F}"/>
              </c:ext>
            </c:extLst>
          </c:dPt>
          <c:dPt>
            <c:idx val="263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20F-4632-F841-9FBE-C74FAD04231F}"/>
              </c:ext>
            </c:extLst>
          </c:dPt>
          <c:dPt>
            <c:idx val="264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211-4632-F841-9FBE-C74FAD04231F}"/>
              </c:ext>
            </c:extLst>
          </c:dPt>
          <c:dPt>
            <c:idx val="265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213-4632-F841-9FBE-C74FAD04231F}"/>
              </c:ext>
            </c:extLst>
          </c:dPt>
          <c:dPt>
            <c:idx val="266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215-4632-F841-9FBE-C74FAD04231F}"/>
              </c:ext>
            </c:extLst>
          </c:dPt>
          <c:dPt>
            <c:idx val="267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217-4632-F841-9FBE-C74FAD04231F}"/>
              </c:ext>
            </c:extLst>
          </c:dPt>
          <c:dPt>
            <c:idx val="268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219-4632-F841-9FBE-C74FAD04231F}"/>
              </c:ext>
            </c:extLst>
          </c:dPt>
          <c:dPt>
            <c:idx val="269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21B-4632-F841-9FBE-C74FAD04231F}"/>
              </c:ext>
            </c:extLst>
          </c:dPt>
          <c:dPt>
            <c:idx val="270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21D-4632-F841-9FBE-C74FAD04231F}"/>
              </c:ext>
            </c:extLst>
          </c:dPt>
          <c:dPt>
            <c:idx val="271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21F-4632-F841-9FBE-C74FAD04231F}"/>
              </c:ext>
            </c:extLst>
          </c:dPt>
          <c:dPt>
            <c:idx val="272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221-4632-F841-9FBE-C74FAD04231F}"/>
              </c:ext>
            </c:extLst>
          </c:dPt>
          <c:dPt>
            <c:idx val="273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223-4632-F841-9FBE-C74FAD04231F}"/>
              </c:ext>
            </c:extLst>
          </c:dPt>
          <c:dPt>
            <c:idx val="274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225-4632-F841-9FBE-C74FAD04231F}"/>
              </c:ext>
            </c:extLst>
          </c:dPt>
          <c:dPt>
            <c:idx val="275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227-4632-F841-9FBE-C74FAD04231F}"/>
              </c:ext>
            </c:extLst>
          </c:dPt>
          <c:dPt>
            <c:idx val="276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229-4632-F841-9FBE-C74FAD04231F}"/>
              </c:ext>
            </c:extLst>
          </c:dPt>
          <c:dPt>
            <c:idx val="277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22B-4632-F841-9FBE-C74FAD04231F}"/>
              </c:ext>
            </c:extLst>
          </c:dPt>
          <c:dPt>
            <c:idx val="278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22D-4632-F841-9FBE-C74FAD04231F}"/>
              </c:ext>
            </c:extLst>
          </c:dPt>
          <c:dPt>
            <c:idx val="279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22F-4632-F841-9FBE-C74FAD04231F}"/>
              </c:ext>
            </c:extLst>
          </c:dPt>
          <c:dPt>
            <c:idx val="280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231-4632-F841-9FBE-C74FAD04231F}"/>
              </c:ext>
            </c:extLst>
          </c:dPt>
          <c:dPt>
            <c:idx val="281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233-4632-F841-9FBE-C74FAD04231F}"/>
              </c:ext>
            </c:extLst>
          </c:dPt>
          <c:dPt>
            <c:idx val="282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235-4632-F841-9FBE-C74FAD04231F}"/>
              </c:ext>
            </c:extLst>
          </c:dPt>
          <c:dPt>
            <c:idx val="283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237-4632-F841-9FBE-C74FAD04231F}"/>
              </c:ext>
            </c:extLst>
          </c:dPt>
          <c:dPt>
            <c:idx val="284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239-4632-F841-9FBE-C74FAD04231F}"/>
              </c:ext>
            </c:extLst>
          </c:dPt>
          <c:dPt>
            <c:idx val="285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23B-4632-F841-9FBE-C74FAD04231F}"/>
              </c:ext>
            </c:extLst>
          </c:dPt>
          <c:dPt>
            <c:idx val="286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23D-4632-F841-9FBE-C74FAD04231F}"/>
              </c:ext>
            </c:extLst>
          </c:dPt>
          <c:dPt>
            <c:idx val="287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23F-4632-F841-9FBE-C74FAD04231F}"/>
              </c:ext>
            </c:extLst>
          </c:dPt>
          <c:dPt>
            <c:idx val="288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241-4632-F841-9FBE-C74FAD04231F}"/>
              </c:ext>
            </c:extLst>
          </c:dPt>
          <c:dPt>
            <c:idx val="289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243-4632-F841-9FBE-C74FAD04231F}"/>
              </c:ext>
            </c:extLst>
          </c:dPt>
          <c:dPt>
            <c:idx val="290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245-4632-F841-9FBE-C74FAD04231F}"/>
              </c:ext>
            </c:extLst>
          </c:dPt>
          <c:dPt>
            <c:idx val="291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247-4632-F841-9FBE-C74FAD04231F}"/>
              </c:ext>
            </c:extLst>
          </c:dPt>
          <c:dPt>
            <c:idx val="292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249-4632-F841-9FBE-C74FAD04231F}"/>
              </c:ext>
            </c:extLst>
          </c:dPt>
          <c:dPt>
            <c:idx val="293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24B-4632-F841-9FBE-C74FAD04231F}"/>
              </c:ext>
            </c:extLst>
          </c:dPt>
          <c:dPt>
            <c:idx val="294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24D-4632-F841-9FBE-C74FAD04231F}"/>
              </c:ext>
            </c:extLst>
          </c:dPt>
          <c:dPt>
            <c:idx val="295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24F-4632-F841-9FBE-C74FAD04231F}"/>
              </c:ext>
            </c:extLst>
          </c:dPt>
          <c:dPt>
            <c:idx val="296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251-4632-F841-9FBE-C74FAD04231F}"/>
              </c:ext>
            </c:extLst>
          </c:dPt>
          <c:dPt>
            <c:idx val="297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253-4632-F841-9FBE-C74FAD04231F}"/>
              </c:ext>
            </c:extLst>
          </c:dPt>
          <c:dPt>
            <c:idx val="298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255-4632-F841-9FBE-C74FAD04231F}"/>
              </c:ext>
            </c:extLst>
          </c:dPt>
          <c:dPt>
            <c:idx val="299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257-4632-F841-9FBE-C74FAD04231F}"/>
              </c:ext>
            </c:extLst>
          </c:dPt>
          <c:dPt>
            <c:idx val="300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259-4632-F841-9FBE-C74FAD04231F}"/>
              </c:ext>
            </c:extLst>
          </c:dPt>
          <c:dPt>
            <c:idx val="301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25B-4632-F841-9FBE-C74FAD04231F}"/>
              </c:ext>
            </c:extLst>
          </c:dPt>
          <c:dPt>
            <c:idx val="302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25D-4632-F841-9FBE-C74FAD04231F}"/>
              </c:ext>
            </c:extLst>
          </c:dPt>
          <c:dPt>
            <c:idx val="303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25F-4632-F841-9FBE-C74FAD04231F}"/>
              </c:ext>
            </c:extLst>
          </c:dPt>
          <c:dPt>
            <c:idx val="304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261-4632-F841-9FBE-C74FAD04231F}"/>
              </c:ext>
            </c:extLst>
          </c:dPt>
          <c:dPt>
            <c:idx val="305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263-4632-F841-9FBE-C74FAD04231F}"/>
              </c:ext>
            </c:extLst>
          </c:dPt>
          <c:dPt>
            <c:idx val="306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265-4632-F841-9FBE-C74FAD04231F}"/>
              </c:ext>
            </c:extLst>
          </c:dPt>
          <c:dPt>
            <c:idx val="307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267-4632-F841-9FBE-C74FAD04231F}"/>
              </c:ext>
            </c:extLst>
          </c:dPt>
          <c:dPt>
            <c:idx val="308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269-4632-F841-9FBE-C74FAD04231F}"/>
              </c:ext>
            </c:extLst>
          </c:dPt>
          <c:dPt>
            <c:idx val="309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26B-4632-F841-9FBE-C74FAD04231F}"/>
              </c:ext>
            </c:extLst>
          </c:dPt>
          <c:dPt>
            <c:idx val="310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26D-4632-F841-9FBE-C74FAD04231F}"/>
              </c:ext>
            </c:extLst>
          </c:dPt>
          <c:dPt>
            <c:idx val="311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26F-4632-F841-9FBE-C74FAD04231F}"/>
              </c:ext>
            </c:extLst>
          </c:dPt>
          <c:dPt>
            <c:idx val="312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271-4632-F841-9FBE-C74FAD04231F}"/>
              </c:ext>
            </c:extLst>
          </c:dPt>
          <c:dPt>
            <c:idx val="313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273-4632-F841-9FBE-C74FAD04231F}"/>
              </c:ext>
            </c:extLst>
          </c:dPt>
          <c:dPt>
            <c:idx val="314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275-4632-F841-9FBE-C74FAD04231F}"/>
              </c:ext>
            </c:extLst>
          </c:dPt>
          <c:dPt>
            <c:idx val="315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277-4632-F841-9FBE-C74FAD04231F}"/>
              </c:ext>
            </c:extLst>
          </c:dPt>
          <c:dPt>
            <c:idx val="316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279-4632-F841-9FBE-C74FAD04231F}"/>
              </c:ext>
            </c:extLst>
          </c:dPt>
          <c:dPt>
            <c:idx val="317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27B-4632-F841-9FBE-C74FAD04231F}"/>
              </c:ext>
            </c:extLst>
          </c:dPt>
          <c:dPt>
            <c:idx val="318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27D-4632-F841-9FBE-C74FAD04231F}"/>
              </c:ext>
            </c:extLst>
          </c:dPt>
          <c:dPt>
            <c:idx val="319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27F-4632-F841-9FBE-C74FAD04231F}"/>
              </c:ext>
            </c:extLst>
          </c:dPt>
          <c:dPt>
            <c:idx val="320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281-4632-F841-9FBE-C74FAD04231F}"/>
              </c:ext>
            </c:extLst>
          </c:dPt>
          <c:dPt>
            <c:idx val="321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283-4632-F841-9FBE-C74FAD04231F}"/>
              </c:ext>
            </c:extLst>
          </c:dPt>
          <c:dPt>
            <c:idx val="322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285-4632-F841-9FBE-C74FAD04231F}"/>
              </c:ext>
            </c:extLst>
          </c:dPt>
          <c:dPt>
            <c:idx val="323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287-4632-F841-9FBE-C74FAD04231F}"/>
              </c:ext>
            </c:extLst>
          </c:dPt>
          <c:dPt>
            <c:idx val="324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289-4632-F841-9FBE-C74FAD04231F}"/>
              </c:ext>
            </c:extLst>
          </c:dPt>
          <c:dPt>
            <c:idx val="325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28B-4632-F841-9FBE-C74FAD04231F}"/>
              </c:ext>
            </c:extLst>
          </c:dPt>
          <c:dPt>
            <c:idx val="326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28D-4632-F841-9FBE-C74FAD04231F}"/>
              </c:ext>
            </c:extLst>
          </c:dPt>
          <c:dPt>
            <c:idx val="327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28F-4632-F841-9FBE-C74FAD04231F}"/>
              </c:ext>
            </c:extLst>
          </c:dPt>
          <c:dPt>
            <c:idx val="328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291-4632-F841-9FBE-C74FAD04231F}"/>
              </c:ext>
            </c:extLst>
          </c:dPt>
          <c:dPt>
            <c:idx val="329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293-4632-F841-9FBE-C74FAD04231F}"/>
              </c:ext>
            </c:extLst>
          </c:dPt>
          <c:dPt>
            <c:idx val="330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295-4632-F841-9FBE-C74FAD04231F}"/>
              </c:ext>
            </c:extLst>
          </c:dPt>
          <c:dPt>
            <c:idx val="331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297-4632-F841-9FBE-C74FAD04231F}"/>
              </c:ext>
            </c:extLst>
          </c:dPt>
          <c:dPt>
            <c:idx val="332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299-4632-F841-9FBE-C74FAD04231F}"/>
              </c:ext>
            </c:extLst>
          </c:dPt>
          <c:dPt>
            <c:idx val="333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29B-4632-F841-9FBE-C74FAD04231F}"/>
              </c:ext>
            </c:extLst>
          </c:dPt>
          <c:dPt>
            <c:idx val="334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29D-4632-F841-9FBE-C74FAD04231F}"/>
              </c:ext>
            </c:extLst>
          </c:dPt>
          <c:dPt>
            <c:idx val="335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29F-4632-F841-9FBE-C74FAD04231F}"/>
              </c:ext>
            </c:extLst>
          </c:dPt>
          <c:dPt>
            <c:idx val="336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2A1-4632-F841-9FBE-C74FAD04231F}"/>
              </c:ext>
            </c:extLst>
          </c:dPt>
          <c:dPt>
            <c:idx val="337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2A3-4632-F841-9FBE-C74FAD04231F}"/>
              </c:ext>
            </c:extLst>
          </c:dPt>
          <c:dPt>
            <c:idx val="338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2A5-4632-F841-9FBE-C74FAD04231F}"/>
              </c:ext>
            </c:extLst>
          </c:dPt>
          <c:dPt>
            <c:idx val="339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2A7-4632-F841-9FBE-C74FAD04231F}"/>
              </c:ext>
            </c:extLst>
          </c:dPt>
          <c:dPt>
            <c:idx val="340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2A9-4632-F841-9FBE-C74FAD04231F}"/>
              </c:ext>
            </c:extLst>
          </c:dPt>
          <c:dPt>
            <c:idx val="341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2AB-4632-F841-9FBE-C74FAD04231F}"/>
              </c:ext>
            </c:extLst>
          </c:dPt>
          <c:dPt>
            <c:idx val="342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2AD-4632-F841-9FBE-C74FAD04231F}"/>
              </c:ext>
            </c:extLst>
          </c:dPt>
          <c:dPt>
            <c:idx val="343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2AF-4632-F841-9FBE-C74FAD04231F}"/>
              </c:ext>
            </c:extLst>
          </c:dPt>
          <c:dPt>
            <c:idx val="344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2B1-4632-F841-9FBE-C74FAD04231F}"/>
              </c:ext>
            </c:extLst>
          </c:dPt>
          <c:dPt>
            <c:idx val="345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2B3-4632-F841-9FBE-C74FAD04231F}"/>
              </c:ext>
            </c:extLst>
          </c:dPt>
          <c:dPt>
            <c:idx val="346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2B5-4632-F841-9FBE-C74FAD04231F}"/>
              </c:ext>
            </c:extLst>
          </c:dPt>
          <c:dPt>
            <c:idx val="347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2B7-4632-F841-9FBE-C74FAD04231F}"/>
              </c:ext>
            </c:extLst>
          </c:dPt>
          <c:dPt>
            <c:idx val="348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2B9-4632-F841-9FBE-C74FAD04231F}"/>
              </c:ext>
            </c:extLst>
          </c:dPt>
          <c:dPt>
            <c:idx val="349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2BB-4632-F841-9FBE-C74FAD04231F}"/>
              </c:ext>
            </c:extLst>
          </c:dPt>
          <c:dPt>
            <c:idx val="350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2BD-4632-F841-9FBE-C74FAD04231F}"/>
              </c:ext>
            </c:extLst>
          </c:dPt>
          <c:dPt>
            <c:idx val="351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2BF-4632-F841-9FBE-C74FAD04231F}"/>
              </c:ext>
            </c:extLst>
          </c:dPt>
          <c:dPt>
            <c:idx val="352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2C1-4632-F841-9FBE-C74FAD04231F}"/>
              </c:ext>
            </c:extLst>
          </c:dPt>
          <c:dPt>
            <c:idx val="353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2C3-4632-F841-9FBE-C74FAD04231F}"/>
              </c:ext>
            </c:extLst>
          </c:dPt>
          <c:dPt>
            <c:idx val="354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2C5-4632-F841-9FBE-C74FAD04231F}"/>
              </c:ext>
            </c:extLst>
          </c:dPt>
          <c:dPt>
            <c:idx val="355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2C7-4632-F841-9FBE-C74FAD04231F}"/>
              </c:ext>
            </c:extLst>
          </c:dPt>
          <c:dPt>
            <c:idx val="356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2C9-4632-F841-9FBE-C74FAD04231F}"/>
              </c:ext>
            </c:extLst>
          </c:dPt>
          <c:dPt>
            <c:idx val="357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2CB-4632-F841-9FBE-C74FAD04231F}"/>
              </c:ext>
            </c:extLst>
          </c:dPt>
          <c:dPt>
            <c:idx val="358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2CD-4632-F841-9FBE-C74FAD04231F}"/>
              </c:ext>
            </c:extLst>
          </c:dPt>
          <c:dPt>
            <c:idx val="359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2CF-4632-F841-9FBE-C74FAD04231F}"/>
              </c:ext>
            </c:extLst>
          </c:dPt>
          <c:dPt>
            <c:idx val="360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2D1-4632-F841-9FBE-C74FAD04231F}"/>
              </c:ext>
            </c:extLst>
          </c:dPt>
          <c:dPt>
            <c:idx val="361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2D3-4632-F841-9FBE-C74FAD04231F}"/>
              </c:ext>
            </c:extLst>
          </c:dPt>
          <c:dPt>
            <c:idx val="362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2D5-4632-F841-9FBE-C74FAD04231F}"/>
              </c:ext>
            </c:extLst>
          </c:dPt>
          <c:dPt>
            <c:idx val="363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2D7-4632-F841-9FBE-C74FAD04231F}"/>
              </c:ext>
            </c:extLst>
          </c:dPt>
          <c:dPt>
            <c:idx val="364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2D9-4632-F841-9FBE-C74FAD04231F}"/>
              </c:ext>
            </c:extLst>
          </c:dPt>
          <c:dPt>
            <c:idx val="365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2DB-4632-F841-9FBE-C74FAD04231F}"/>
              </c:ext>
            </c:extLst>
          </c:dPt>
          <c:dPt>
            <c:idx val="366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2DD-4632-F841-9FBE-C74FAD04231F}"/>
              </c:ext>
            </c:extLst>
          </c:dPt>
          <c:dPt>
            <c:idx val="367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2DF-4632-F841-9FBE-C74FAD04231F}"/>
              </c:ext>
            </c:extLst>
          </c:dPt>
          <c:dPt>
            <c:idx val="368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2E1-4632-F841-9FBE-C74FAD04231F}"/>
              </c:ext>
            </c:extLst>
          </c:dPt>
          <c:dPt>
            <c:idx val="369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2E3-4632-F841-9FBE-C74FAD04231F}"/>
              </c:ext>
            </c:extLst>
          </c:dPt>
          <c:dPt>
            <c:idx val="370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2E5-4632-F841-9FBE-C74FAD04231F}"/>
              </c:ext>
            </c:extLst>
          </c:dPt>
          <c:dPt>
            <c:idx val="371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2E7-4632-F841-9FBE-C74FAD04231F}"/>
              </c:ext>
            </c:extLst>
          </c:dPt>
          <c:dPt>
            <c:idx val="372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2E9-4632-F841-9FBE-C74FAD04231F}"/>
              </c:ext>
            </c:extLst>
          </c:dPt>
          <c:dPt>
            <c:idx val="373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2EB-4632-F841-9FBE-C74FAD04231F}"/>
              </c:ext>
            </c:extLst>
          </c:dPt>
          <c:dPt>
            <c:idx val="374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2ED-4632-F841-9FBE-C74FAD04231F}"/>
              </c:ext>
            </c:extLst>
          </c:dPt>
          <c:dPt>
            <c:idx val="375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2EF-4632-F841-9FBE-C74FAD04231F}"/>
              </c:ext>
            </c:extLst>
          </c:dPt>
          <c:dPt>
            <c:idx val="376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2F1-4632-F841-9FBE-C74FAD04231F}"/>
              </c:ext>
            </c:extLst>
          </c:dPt>
          <c:dPt>
            <c:idx val="377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2F3-4632-F841-9FBE-C74FAD04231F}"/>
              </c:ext>
            </c:extLst>
          </c:dPt>
          <c:dPt>
            <c:idx val="378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2F5-4632-F841-9FBE-C74FAD04231F}"/>
              </c:ext>
            </c:extLst>
          </c:dPt>
          <c:dPt>
            <c:idx val="379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2F7-4632-F841-9FBE-C74FAD04231F}"/>
              </c:ext>
            </c:extLst>
          </c:dPt>
          <c:dPt>
            <c:idx val="380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2F9-4632-F841-9FBE-C74FAD04231F}"/>
              </c:ext>
            </c:extLst>
          </c:dPt>
          <c:dPt>
            <c:idx val="381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2FB-4632-F841-9FBE-C74FAD04231F}"/>
              </c:ext>
            </c:extLst>
          </c:dPt>
          <c:dPt>
            <c:idx val="382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2FD-4632-F841-9FBE-C74FAD04231F}"/>
              </c:ext>
            </c:extLst>
          </c:dPt>
          <c:dPt>
            <c:idx val="383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2FF-4632-F841-9FBE-C74FAD04231F}"/>
              </c:ext>
            </c:extLst>
          </c:dPt>
          <c:dPt>
            <c:idx val="384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301-4632-F841-9FBE-C74FAD04231F}"/>
              </c:ext>
            </c:extLst>
          </c:dPt>
          <c:dPt>
            <c:idx val="385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303-4632-F841-9FBE-C74FAD04231F}"/>
              </c:ext>
            </c:extLst>
          </c:dPt>
          <c:dPt>
            <c:idx val="386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305-4632-F841-9FBE-C74FAD04231F}"/>
              </c:ext>
            </c:extLst>
          </c:dPt>
          <c:dPt>
            <c:idx val="387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307-4632-F841-9FBE-C74FAD04231F}"/>
              </c:ext>
            </c:extLst>
          </c:dPt>
          <c:dPt>
            <c:idx val="388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309-4632-F841-9FBE-C74FAD04231F}"/>
              </c:ext>
            </c:extLst>
          </c:dPt>
          <c:dPt>
            <c:idx val="389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30B-4632-F841-9FBE-C74FAD04231F}"/>
              </c:ext>
            </c:extLst>
          </c:dPt>
          <c:dPt>
            <c:idx val="390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30D-4632-F841-9FBE-C74FAD04231F}"/>
              </c:ext>
            </c:extLst>
          </c:dPt>
          <c:dPt>
            <c:idx val="391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30F-4632-F841-9FBE-C74FAD04231F}"/>
              </c:ext>
            </c:extLst>
          </c:dPt>
          <c:dPt>
            <c:idx val="392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311-4632-F841-9FBE-C74FAD04231F}"/>
              </c:ext>
            </c:extLst>
          </c:dPt>
          <c:dPt>
            <c:idx val="393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313-4632-F841-9FBE-C74FAD04231F}"/>
              </c:ext>
            </c:extLst>
          </c:dPt>
          <c:dPt>
            <c:idx val="394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315-4632-F841-9FBE-C74FAD04231F}"/>
              </c:ext>
            </c:extLst>
          </c:dPt>
          <c:dPt>
            <c:idx val="395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317-4632-F841-9FBE-C74FAD04231F}"/>
              </c:ext>
            </c:extLst>
          </c:dPt>
          <c:dPt>
            <c:idx val="396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319-4632-F841-9FBE-C74FAD04231F}"/>
              </c:ext>
            </c:extLst>
          </c:dPt>
          <c:dPt>
            <c:idx val="397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31B-4632-F841-9FBE-C74FAD04231F}"/>
              </c:ext>
            </c:extLst>
          </c:dPt>
          <c:dPt>
            <c:idx val="398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31D-4632-F841-9FBE-C74FAD04231F}"/>
              </c:ext>
            </c:extLst>
          </c:dPt>
          <c:dPt>
            <c:idx val="399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31F-4632-F841-9FBE-C74FAD04231F}"/>
              </c:ext>
            </c:extLst>
          </c:dPt>
          <c:dPt>
            <c:idx val="400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321-4632-F841-9FBE-C74FAD04231F}"/>
              </c:ext>
            </c:extLst>
          </c:dPt>
          <c:dPt>
            <c:idx val="401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323-4632-F841-9FBE-C74FAD04231F}"/>
              </c:ext>
            </c:extLst>
          </c:dPt>
          <c:dPt>
            <c:idx val="402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325-4632-F841-9FBE-C74FAD04231F}"/>
              </c:ext>
            </c:extLst>
          </c:dPt>
          <c:dPt>
            <c:idx val="403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327-4632-F841-9FBE-C74FAD04231F}"/>
              </c:ext>
            </c:extLst>
          </c:dPt>
          <c:dPt>
            <c:idx val="404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329-4632-F841-9FBE-C74FAD04231F}"/>
              </c:ext>
            </c:extLst>
          </c:dPt>
          <c:dPt>
            <c:idx val="405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32B-4632-F841-9FBE-C74FAD04231F}"/>
              </c:ext>
            </c:extLst>
          </c:dPt>
          <c:dPt>
            <c:idx val="406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32D-4632-F841-9FBE-C74FAD04231F}"/>
              </c:ext>
            </c:extLst>
          </c:dPt>
          <c:dPt>
            <c:idx val="407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32F-4632-F841-9FBE-C74FAD04231F}"/>
              </c:ext>
            </c:extLst>
          </c:dPt>
          <c:dPt>
            <c:idx val="408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331-4632-F841-9FBE-C74FAD04231F}"/>
              </c:ext>
            </c:extLst>
          </c:dPt>
          <c:dPt>
            <c:idx val="409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333-4632-F841-9FBE-C74FAD04231F}"/>
              </c:ext>
            </c:extLst>
          </c:dPt>
          <c:dPt>
            <c:idx val="410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335-4632-F841-9FBE-C74FAD04231F}"/>
              </c:ext>
            </c:extLst>
          </c:dPt>
          <c:dPt>
            <c:idx val="411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337-4632-F841-9FBE-C74FAD04231F}"/>
              </c:ext>
            </c:extLst>
          </c:dPt>
          <c:dPt>
            <c:idx val="412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339-4632-F841-9FBE-C74FAD04231F}"/>
              </c:ext>
            </c:extLst>
          </c:dPt>
          <c:dPt>
            <c:idx val="413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33B-4632-F841-9FBE-C74FAD04231F}"/>
              </c:ext>
            </c:extLst>
          </c:dPt>
          <c:dPt>
            <c:idx val="414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33D-4632-F841-9FBE-C74FAD04231F}"/>
              </c:ext>
            </c:extLst>
          </c:dPt>
          <c:dPt>
            <c:idx val="415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33F-4632-F841-9FBE-C74FAD04231F}"/>
              </c:ext>
            </c:extLst>
          </c:dPt>
          <c:dPt>
            <c:idx val="416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341-4632-F841-9FBE-C74FAD04231F}"/>
              </c:ext>
            </c:extLst>
          </c:dPt>
          <c:dPt>
            <c:idx val="417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343-4632-F841-9FBE-C74FAD04231F}"/>
              </c:ext>
            </c:extLst>
          </c:dPt>
          <c:dPt>
            <c:idx val="418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345-4632-F841-9FBE-C74FAD04231F}"/>
              </c:ext>
            </c:extLst>
          </c:dPt>
          <c:dPt>
            <c:idx val="419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347-4632-F841-9FBE-C74FAD04231F}"/>
              </c:ext>
            </c:extLst>
          </c:dPt>
          <c:dPt>
            <c:idx val="420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349-4632-F841-9FBE-C74FAD04231F}"/>
              </c:ext>
            </c:extLst>
          </c:dPt>
          <c:dPt>
            <c:idx val="421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34B-4632-F841-9FBE-C74FAD04231F}"/>
              </c:ext>
            </c:extLst>
          </c:dPt>
          <c:dPt>
            <c:idx val="422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34D-4632-F841-9FBE-C74FAD04231F}"/>
              </c:ext>
            </c:extLst>
          </c:dPt>
          <c:dPt>
            <c:idx val="423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34F-4632-F841-9FBE-C74FAD04231F}"/>
              </c:ext>
            </c:extLst>
          </c:dPt>
          <c:dPt>
            <c:idx val="424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351-4632-F841-9FBE-C74FAD04231F}"/>
              </c:ext>
            </c:extLst>
          </c:dPt>
          <c:dPt>
            <c:idx val="425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353-4632-F841-9FBE-C74FAD04231F}"/>
              </c:ext>
            </c:extLst>
          </c:dPt>
          <c:dPt>
            <c:idx val="426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355-4632-F841-9FBE-C74FAD04231F}"/>
              </c:ext>
            </c:extLst>
          </c:dPt>
          <c:dPt>
            <c:idx val="427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357-4632-F841-9FBE-C74FAD04231F}"/>
              </c:ext>
            </c:extLst>
          </c:dPt>
          <c:dPt>
            <c:idx val="428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359-4632-F841-9FBE-C74FAD04231F}"/>
              </c:ext>
            </c:extLst>
          </c:dPt>
          <c:dPt>
            <c:idx val="429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35B-4632-F841-9FBE-C74FAD04231F}"/>
              </c:ext>
            </c:extLst>
          </c:dPt>
          <c:dPt>
            <c:idx val="430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35D-4632-F841-9FBE-C74FAD04231F}"/>
              </c:ext>
            </c:extLst>
          </c:dPt>
          <c:dPt>
            <c:idx val="431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35F-4632-F841-9FBE-C74FAD04231F}"/>
              </c:ext>
            </c:extLst>
          </c:dPt>
          <c:dPt>
            <c:idx val="432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361-4632-F841-9FBE-C74FAD04231F}"/>
              </c:ext>
            </c:extLst>
          </c:dPt>
          <c:dPt>
            <c:idx val="433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363-4632-F841-9FBE-C74FAD04231F}"/>
              </c:ext>
            </c:extLst>
          </c:dPt>
          <c:dPt>
            <c:idx val="434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365-4632-F841-9FBE-C74FAD04231F}"/>
              </c:ext>
            </c:extLst>
          </c:dPt>
          <c:dPt>
            <c:idx val="435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367-4632-F841-9FBE-C74FAD04231F}"/>
              </c:ext>
            </c:extLst>
          </c:dPt>
          <c:dPt>
            <c:idx val="436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369-4632-F841-9FBE-C74FAD04231F}"/>
              </c:ext>
            </c:extLst>
          </c:dPt>
          <c:dPt>
            <c:idx val="437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36B-4632-F841-9FBE-C74FAD04231F}"/>
              </c:ext>
            </c:extLst>
          </c:dPt>
          <c:dPt>
            <c:idx val="438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36D-4632-F841-9FBE-C74FAD04231F}"/>
              </c:ext>
            </c:extLst>
          </c:dPt>
          <c:dPt>
            <c:idx val="439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36F-4632-F841-9FBE-C74FAD04231F}"/>
              </c:ext>
            </c:extLst>
          </c:dPt>
          <c:dPt>
            <c:idx val="440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371-4632-F841-9FBE-C74FAD04231F}"/>
              </c:ext>
            </c:extLst>
          </c:dPt>
          <c:dPt>
            <c:idx val="441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373-4632-F841-9FBE-C74FAD04231F}"/>
              </c:ext>
            </c:extLst>
          </c:dPt>
          <c:dPt>
            <c:idx val="442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375-4632-F841-9FBE-C74FAD04231F}"/>
              </c:ext>
            </c:extLst>
          </c:dPt>
          <c:dPt>
            <c:idx val="443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377-4632-F841-9FBE-C74FAD04231F}"/>
              </c:ext>
            </c:extLst>
          </c:dPt>
          <c:dPt>
            <c:idx val="444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379-4632-F841-9FBE-C74FAD04231F}"/>
              </c:ext>
            </c:extLst>
          </c:dPt>
          <c:dPt>
            <c:idx val="445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37B-4632-F841-9FBE-C74FAD04231F}"/>
              </c:ext>
            </c:extLst>
          </c:dPt>
          <c:dPt>
            <c:idx val="446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37D-4632-F841-9FBE-C74FAD04231F}"/>
              </c:ext>
            </c:extLst>
          </c:dPt>
          <c:dPt>
            <c:idx val="447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37F-4632-F841-9FBE-C74FAD04231F}"/>
              </c:ext>
            </c:extLst>
          </c:dPt>
          <c:dPt>
            <c:idx val="448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381-4632-F841-9FBE-C74FAD04231F}"/>
              </c:ext>
            </c:extLst>
          </c:dPt>
          <c:dPt>
            <c:idx val="449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383-4632-F841-9FBE-C74FAD04231F}"/>
              </c:ext>
            </c:extLst>
          </c:dPt>
          <c:dPt>
            <c:idx val="450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385-4632-F841-9FBE-C74FAD04231F}"/>
              </c:ext>
            </c:extLst>
          </c:dPt>
          <c:dPt>
            <c:idx val="451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387-4632-F841-9FBE-C74FAD04231F}"/>
              </c:ext>
            </c:extLst>
          </c:dPt>
          <c:dPt>
            <c:idx val="452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389-4632-F841-9FBE-C74FAD04231F}"/>
              </c:ext>
            </c:extLst>
          </c:dPt>
          <c:dPt>
            <c:idx val="453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38B-4632-F841-9FBE-C74FAD04231F}"/>
              </c:ext>
            </c:extLst>
          </c:dPt>
          <c:dPt>
            <c:idx val="454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38D-4632-F841-9FBE-C74FAD04231F}"/>
              </c:ext>
            </c:extLst>
          </c:dPt>
          <c:dPt>
            <c:idx val="455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38F-4632-F841-9FBE-C74FAD04231F}"/>
              </c:ext>
            </c:extLst>
          </c:dPt>
          <c:dPt>
            <c:idx val="456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391-4632-F841-9FBE-C74FAD04231F}"/>
              </c:ext>
            </c:extLst>
          </c:dPt>
          <c:dPt>
            <c:idx val="457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393-4632-F841-9FBE-C74FAD04231F}"/>
              </c:ext>
            </c:extLst>
          </c:dPt>
          <c:dPt>
            <c:idx val="458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395-4632-F841-9FBE-C74FAD04231F}"/>
              </c:ext>
            </c:extLst>
          </c:dPt>
          <c:dPt>
            <c:idx val="459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397-4632-F841-9FBE-C74FAD04231F}"/>
              </c:ext>
            </c:extLst>
          </c:dPt>
          <c:dPt>
            <c:idx val="460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399-4632-F841-9FBE-C74FAD04231F}"/>
              </c:ext>
            </c:extLst>
          </c:dPt>
          <c:dPt>
            <c:idx val="461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39B-4632-F841-9FBE-C74FAD04231F}"/>
              </c:ext>
            </c:extLst>
          </c:dPt>
          <c:dPt>
            <c:idx val="462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39D-4632-F841-9FBE-C74FAD04231F}"/>
              </c:ext>
            </c:extLst>
          </c:dPt>
          <c:dPt>
            <c:idx val="463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39F-4632-F841-9FBE-C74FAD04231F}"/>
              </c:ext>
            </c:extLst>
          </c:dPt>
          <c:dPt>
            <c:idx val="464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3A1-4632-F841-9FBE-C74FAD04231F}"/>
              </c:ext>
            </c:extLst>
          </c:dPt>
          <c:dPt>
            <c:idx val="465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3A3-4632-F841-9FBE-C74FAD04231F}"/>
              </c:ext>
            </c:extLst>
          </c:dPt>
          <c:dPt>
            <c:idx val="466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3A5-4632-F841-9FBE-C74FAD04231F}"/>
              </c:ext>
            </c:extLst>
          </c:dPt>
          <c:dPt>
            <c:idx val="467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3A7-4632-F841-9FBE-C74FAD04231F}"/>
              </c:ext>
            </c:extLst>
          </c:dPt>
          <c:dPt>
            <c:idx val="468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3A9-4632-F841-9FBE-C74FAD04231F}"/>
              </c:ext>
            </c:extLst>
          </c:dPt>
          <c:dPt>
            <c:idx val="469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3AB-4632-F841-9FBE-C74FAD04231F}"/>
              </c:ext>
            </c:extLst>
          </c:dPt>
          <c:dPt>
            <c:idx val="470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3AD-4632-F841-9FBE-C74FAD04231F}"/>
              </c:ext>
            </c:extLst>
          </c:dPt>
          <c:dPt>
            <c:idx val="471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3AF-4632-F841-9FBE-C74FAD04231F}"/>
              </c:ext>
            </c:extLst>
          </c:dPt>
          <c:dPt>
            <c:idx val="472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3B1-4632-F841-9FBE-C74FAD04231F}"/>
              </c:ext>
            </c:extLst>
          </c:dPt>
          <c:dPt>
            <c:idx val="473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3B3-4632-F841-9FBE-C74FAD04231F}"/>
              </c:ext>
            </c:extLst>
          </c:dPt>
          <c:dPt>
            <c:idx val="474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3B5-4632-F841-9FBE-C74FAD04231F}"/>
              </c:ext>
            </c:extLst>
          </c:dPt>
          <c:dPt>
            <c:idx val="475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3B7-4632-F841-9FBE-C74FAD04231F}"/>
              </c:ext>
            </c:extLst>
          </c:dPt>
          <c:dPt>
            <c:idx val="476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3B9-4632-F841-9FBE-C74FAD04231F}"/>
              </c:ext>
            </c:extLst>
          </c:dPt>
          <c:dPt>
            <c:idx val="477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3BB-4632-F841-9FBE-C74FAD04231F}"/>
              </c:ext>
            </c:extLst>
          </c:dPt>
          <c:dPt>
            <c:idx val="478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3BD-4632-F841-9FBE-C74FAD04231F}"/>
              </c:ext>
            </c:extLst>
          </c:dPt>
          <c:dPt>
            <c:idx val="479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3BF-4632-F841-9FBE-C74FAD04231F}"/>
              </c:ext>
            </c:extLst>
          </c:dPt>
          <c:dPt>
            <c:idx val="480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3C1-4632-F841-9FBE-C74FAD04231F}"/>
              </c:ext>
            </c:extLst>
          </c:dPt>
          <c:dPt>
            <c:idx val="481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3C3-4632-F841-9FBE-C74FAD04231F}"/>
              </c:ext>
            </c:extLst>
          </c:dPt>
          <c:dPt>
            <c:idx val="482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3C5-4632-F841-9FBE-C74FAD04231F}"/>
              </c:ext>
            </c:extLst>
          </c:dPt>
          <c:dPt>
            <c:idx val="483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3C7-4632-F841-9FBE-C74FAD04231F}"/>
              </c:ext>
            </c:extLst>
          </c:dPt>
          <c:dPt>
            <c:idx val="484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3C9-4632-F841-9FBE-C74FAD04231F}"/>
              </c:ext>
            </c:extLst>
          </c:dPt>
          <c:dPt>
            <c:idx val="485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3CB-4632-F841-9FBE-C74FAD04231F}"/>
              </c:ext>
            </c:extLst>
          </c:dPt>
          <c:dPt>
            <c:idx val="486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3CD-4632-F841-9FBE-C74FAD04231F}"/>
              </c:ext>
            </c:extLst>
          </c:dPt>
          <c:dPt>
            <c:idx val="487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3CF-4632-F841-9FBE-C74FAD04231F}"/>
              </c:ext>
            </c:extLst>
          </c:dPt>
          <c:dPt>
            <c:idx val="488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3D1-4632-F841-9FBE-C74FAD04231F}"/>
              </c:ext>
            </c:extLst>
          </c:dPt>
          <c:dPt>
            <c:idx val="489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3D3-4632-F841-9FBE-C74FAD04231F}"/>
              </c:ext>
            </c:extLst>
          </c:dPt>
          <c:dPt>
            <c:idx val="490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3D5-4632-F841-9FBE-C74FAD04231F}"/>
              </c:ext>
            </c:extLst>
          </c:dPt>
          <c:dPt>
            <c:idx val="491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3D7-4632-F841-9FBE-C74FAD04231F}"/>
              </c:ext>
            </c:extLst>
          </c:dPt>
          <c:dPt>
            <c:idx val="492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3D9-4632-F841-9FBE-C74FAD04231F}"/>
              </c:ext>
            </c:extLst>
          </c:dPt>
          <c:dPt>
            <c:idx val="493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3DB-4632-F841-9FBE-C74FAD04231F}"/>
              </c:ext>
            </c:extLst>
          </c:dPt>
          <c:dPt>
            <c:idx val="494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3DD-4632-F841-9FBE-C74FAD04231F}"/>
              </c:ext>
            </c:extLst>
          </c:dPt>
          <c:dPt>
            <c:idx val="495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3DF-4632-F841-9FBE-C74FAD04231F}"/>
              </c:ext>
            </c:extLst>
          </c:dPt>
          <c:dPt>
            <c:idx val="496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3E1-4632-F841-9FBE-C74FAD04231F}"/>
              </c:ext>
            </c:extLst>
          </c:dPt>
          <c:dPt>
            <c:idx val="497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3E3-4632-F841-9FBE-C74FAD04231F}"/>
              </c:ext>
            </c:extLst>
          </c:dPt>
          <c:dPt>
            <c:idx val="498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3E5-4632-F841-9FBE-C74FAD04231F}"/>
              </c:ext>
            </c:extLst>
          </c:dPt>
          <c:dPt>
            <c:idx val="499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3E7-4632-F841-9FBE-C74FAD04231F}"/>
              </c:ext>
            </c:extLst>
          </c:dPt>
          <c:dPt>
            <c:idx val="500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3E9-4632-F841-9FBE-C74FAD04231F}"/>
              </c:ext>
            </c:extLst>
          </c:dPt>
          <c:dPt>
            <c:idx val="501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3EB-4632-F841-9FBE-C74FAD04231F}"/>
              </c:ext>
            </c:extLst>
          </c:dPt>
          <c:dPt>
            <c:idx val="502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3ED-4632-F841-9FBE-C74FAD04231F}"/>
              </c:ext>
            </c:extLst>
          </c:dPt>
          <c:dPt>
            <c:idx val="503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3EF-4632-F841-9FBE-C74FAD04231F}"/>
              </c:ext>
            </c:extLst>
          </c:dPt>
          <c:dPt>
            <c:idx val="504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3F1-4632-F841-9FBE-C74FAD04231F}"/>
              </c:ext>
            </c:extLst>
          </c:dPt>
          <c:dPt>
            <c:idx val="505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3F3-4632-F841-9FBE-C74FAD04231F}"/>
              </c:ext>
            </c:extLst>
          </c:dPt>
          <c:dPt>
            <c:idx val="506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3F5-4632-F841-9FBE-C74FAD04231F}"/>
              </c:ext>
            </c:extLst>
          </c:dPt>
          <c:dPt>
            <c:idx val="507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3F7-4632-F841-9FBE-C74FAD04231F}"/>
              </c:ext>
            </c:extLst>
          </c:dPt>
          <c:dPt>
            <c:idx val="508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3F9-4632-F841-9FBE-C74FAD04231F}"/>
              </c:ext>
            </c:extLst>
          </c:dPt>
          <c:dPt>
            <c:idx val="509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3FB-4632-F841-9FBE-C74FAD04231F}"/>
              </c:ext>
            </c:extLst>
          </c:dPt>
          <c:dPt>
            <c:idx val="510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3FD-4632-F841-9FBE-C74FAD04231F}"/>
              </c:ext>
            </c:extLst>
          </c:dPt>
          <c:dPt>
            <c:idx val="511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3FF-4632-F841-9FBE-C74FAD04231F}"/>
              </c:ext>
            </c:extLst>
          </c:dPt>
          <c:dPt>
            <c:idx val="512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401-4632-F841-9FBE-C74FAD04231F}"/>
              </c:ext>
            </c:extLst>
          </c:dPt>
          <c:dPt>
            <c:idx val="513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403-4632-F841-9FBE-C74FAD04231F}"/>
              </c:ext>
            </c:extLst>
          </c:dPt>
          <c:dPt>
            <c:idx val="514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405-4632-F841-9FBE-C74FAD04231F}"/>
              </c:ext>
            </c:extLst>
          </c:dPt>
          <c:dPt>
            <c:idx val="515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407-4632-F841-9FBE-C74FAD04231F}"/>
              </c:ext>
            </c:extLst>
          </c:dPt>
          <c:dPt>
            <c:idx val="516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409-4632-F841-9FBE-C74FAD04231F}"/>
              </c:ext>
            </c:extLst>
          </c:dPt>
          <c:dPt>
            <c:idx val="517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40B-4632-F841-9FBE-C74FAD04231F}"/>
              </c:ext>
            </c:extLst>
          </c:dPt>
          <c:dPt>
            <c:idx val="518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40D-4632-F841-9FBE-C74FAD04231F}"/>
              </c:ext>
            </c:extLst>
          </c:dPt>
          <c:dPt>
            <c:idx val="519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40F-4632-F841-9FBE-C74FAD04231F}"/>
              </c:ext>
            </c:extLst>
          </c:dPt>
          <c:dPt>
            <c:idx val="520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411-4632-F841-9FBE-C74FAD04231F}"/>
              </c:ext>
            </c:extLst>
          </c:dPt>
          <c:dPt>
            <c:idx val="521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413-4632-F841-9FBE-C74FAD04231F}"/>
              </c:ext>
            </c:extLst>
          </c:dPt>
          <c:dPt>
            <c:idx val="522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415-4632-F841-9FBE-C74FAD04231F}"/>
              </c:ext>
            </c:extLst>
          </c:dPt>
          <c:dPt>
            <c:idx val="523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417-4632-F841-9FBE-C74FAD04231F}"/>
              </c:ext>
            </c:extLst>
          </c:dPt>
          <c:dPt>
            <c:idx val="524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419-4632-F841-9FBE-C74FAD04231F}"/>
              </c:ext>
            </c:extLst>
          </c:dPt>
          <c:dPt>
            <c:idx val="525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41B-4632-F841-9FBE-C74FAD04231F}"/>
              </c:ext>
            </c:extLst>
          </c:dPt>
          <c:dPt>
            <c:idx val="526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41D-4632-F841-9FBE-C74FAD04231F}"/>
              </c:ext>
            </c:extLst>
          </c:dPt>
          <c:dPt>
            <c:idx val="527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41F-4632-F841-9FBE-C74FAD04231F}"/>
              </c:ext>
            </c:extLst>
          </c:dPt>
          <c:dPt>
            <c:idx val="528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421-4632-F841-9FBE-C74FAD04231F}"/>
              </c:ext>
            </c:extLst>
          </c:dPt>
          <c:dPt>
            <c:idx val="529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423-4632-F841-9FBE-C74FAD04231F}"/>
              </c:ext>
            </c:extLst>
          </c:dPt>
          <c:dPt>
            <c:idx val="530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425-4632-F841-9FBE-C74FAD04231F}"/>
              </c:ext>
            </c:extLst>
          </c:dPt>
          <c:dPt>
            <c:idx val="531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427-4632-F841-9FBE-C74FAD04231F}"/>
              </c:ext>
            </c:extLst>
          </c:dPt>
          <c:dPt>
            <c:idx val="532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429-4632-F841-9FBE-C74FAD04231F}"/>
              </c:ext>
            </c:extLst>
          </c:dPt>
          <c:dPt>
            <c:idx val="533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42B-4632-F841-9FBE-C74FAD04231F}"/>
              </c:ext>
            </c:extLst>
          </c:dPt>
          <c:dPt>
            <c:idx val="534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42D-4632-F841-9FBE-C74FAD04231F}"/>
              </c:ext>
            </c:extLst>
          </c:dPt>
          <c:dPt>
            <c:idx val="535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42F-4632-F841-9FBE-C74FAD04231F}"/>
              </c:ext>
            </c:extLst>
          </c:dPt>
          <c:dPt>
            <c:idx val="536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431-4632-F841-9FBE-C74FAD04231F}"/>
              </c:ext>
            </c:extLst>
          </c:dPt>
          <c:dPt>
            <c:idx val="537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433-4632-F841-9FBE-C74FAD04231F}"/>
              </c:ext>
            </c:extLst>
          </c:dPt>
          <c:dPt>
            <c:idx val="538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435-4632-F841-9FBE-C74FAD04231F}"/>
              </c:ext>
            </c:extLst>
          </c:dPt>
          <c:dPt>
            <c:idx val="539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437-4632-F841-9FBE-C74FAD04231F}"/>
              </c:ext>
            </c:extLst>
          </c:dPt>
          <c:dPt>
            <c:idx val="540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439-4632-F841-9FBE-C74FAD04231F}"/>
              </c:ext>
            </c:extLst>
          </c:dPt>
          <c:dPt>
            <c:idx val="541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43B-4632-F841-9FBE-C74FAD04231F}"/>
              </c:ext>
            </c:extLst>
          </c:dPt>
          <c:dPt>
            <c:idx val="542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43D-4632-F841-9FBE-C74FAD04231F}"/>
              </c:ext>
            </c:extLst>
          </c:dPt>
          <c:dPt>
            <c:idx val="543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43F-4632-F841-9FBE-C74FAD04231F}"/>
              </c:ext>
            </c:extLst>
          </c:dPt>
          <c:dPt>
            <c:idx val="544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441-4632-F841-9FBE-C74FAD04231F}"/>
              </c:ext>
            </c:extLst>
          </c:dPt>
          <c:dPt>
            <c:idx val="545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443-4632-F841-9FBE-C74FAD04231F}"/>
              </c:ext>
            </c:extLst>
          </c:dPt>
          <c:dPt>
            <c:idx val="546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445-4632-F841-9FBE-C74FAD04231F}"/>
              </c:ext>
            </c:extLst>
          </c:dPt>
          <c:dPt>
            <c:idx val="547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447-4632-F841-9FBE-C74FAD04231F}"/>
              </c:ext>
            </c:extLst>
          </c:dPt>
          <c:dPt>
            <c:idx val="548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449-4632-F841-9FBE-C74FAD04231F}"/>
              </c:ext>
            </c:extLst>
          </c:dPt>
          <c:dPt>
            <c:idx val="549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44B-4632-F841-9FBE-C74FAD04231F}"/>
              </c:ext>
            </c:extLst>
          </c:dPt>
          <c:dPt>
            <c:idx val="550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44D-4632-F841-9FBE-C74FAD04231F}"/>
              </c:ext>
            </c:extLst>
          </c:dPt>
          <c:dPt>
            <c:idx val="551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44F-4632-F841-9FBE-C74FAD04231F}"/>
              </c:ext>
            </c:extLst>
          </c:dPt>
          <c:dPt>
            <c:idx val="552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451-4632-F841-9FBE-C74FAD04231F}"/>
              </c:ext>
            </c:extLst>
          </c:dPt>
          <c:dPt>
            <c:idx val="553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453-4632-F841-9FBE-C74FAD04231F}"/>
              </c:ext>
            </c:extLst>
          </c:dPt>
          <c:dPt>
            <c:idx val="554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455-4632-F841-9FBE-C74FAD04231F}"/>
              </c:ext>
            </c:extLst>
          </c:dPt>
          <c:dPt>
            <c:idx val="555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457-4632-F841-9FBE-C74FAD04231F}"/>
              </c:ext>
            </c:extLst>
          </c:dPt>
          <c:dPt>
            <c:idx val="556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459-4632-F841-9FBE-C74FAD04231F}"/>
              </c:ext>
            </c:extLst>
          </c:dPt>
          <c:dPt>
            <c:idx val="557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45B-4632-F841-9FBE-C74FAD04231F}"/>
              </c:ext>
            </c:extLst>
          </c:dPt>
          <c:dPt>
            <c:idx val="558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45D-4632-F841-9FBE-C74FAD04231F}"/>
              </c:ext>
            </c:extLst>
          </c:dPt>
          <c:dPt>
            <c:idx val="559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45F-4632-F841-9FBE-C74FAD04231F}"/>
              </c:ext>
            </c:extLst>
          </c:dPt>
          <c:dPt>
            <c:idx val="560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461-4632-F841-9FBE-C74FAD04231F}"/>
              </c:ext>
            </c:extLst>
          </c:dPt>
          <c:dPt>
            <c:idx val="561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463-4632-F841-9FBE-C74FAD04231F}"/>
              </c:ext>
            </c:extLst>
          </c:dPt>
          <c:dPt>
            <c:idx val="562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465-4632-F841-9FBE-C74FAD04231F}"/>
              </c:ext>
            </c:extLst>
          </c:dPt>
          <c:dPt>
            <c:idx val="563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467-4632-F841-9FBE-C74FAD04231F}"/>
              </c:ext>
            </c:extLst>
          </c:dPt>
          <c:dPt>
            <c:idx val="564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469-4632-F841-9FBE-C74FAD04231F}"/>
              </c:ext>
            </c:extLst>
          </c:dPt>
          <c:dPt>
            <c:idx val="565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46B-4632-F841-9FBE-C74FAD04231F}"/>
              </c:ext>
            </c:extLst>
          </c:dPt>
          <c:dPt>
            <c:idx val="566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46D-4632-F841-9FBE-C74FAD04231F}"/>
              </c:ext>
            </c:extLst>
          </c:dPt>
          <c:dPt>
            <c:idx val="567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46F-4632-F841-9FBE-C74FAD04231F}"/>
              </c:ext>
            </c:extLst>
          </c:dPt>
          <c:dPt>
            <c:idx val="568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471-4632-F841-9FBE-C74FAD04231F}"/>
              </c:ext>
            </c:extLst>
          </c:dPt>
          <c:dPt>
            <c:idx val="569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473-4632-F841-9FBE-C74FAD04231F}"/>
              </c:ext>
            </c:extLst>
          </c:dPt>
          <c:dPt>
            <c:idx val="570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475-4632-F841-9FBE-C74FAD04231F}"/>
              </c:ext>
            </c:extLst>
          </c:dPt>
          <c:dPt>
            <c:idx val="571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477-4632-F841-9FBE-C74FAD04231F}"/>
              </c:ext>
            </c:extLst>
          </c:dPt>
          <c:dPt>
            <c:idx val="572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479-4632-F841-9FBE-C74FAD04231F}"/>
              </c:ext>
            </c:extLst>
          </c:dPt>
          <c:dPt>
            <c:idx val="573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47B-4632-F841-9FBE-C74FAD04231F}"/>
              </c:ext>
            </c:extLst>
          </c:dPt>
          <c:dPt>
            <c:idx val="574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47D-4632-F841-9FBE-C74FAD04231F}"/>
              </c:ext>
            </c:extLst>
          </c:dPt>
          <c:dPt>
            <c:idx val="575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47F-4632-F841-9FBE-C74FAD04231F}"/>
              </c:ext>
            </c:extLst>
          </c:dPt>
          <c:dPt>
            <c:idx val="576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481-4632-F841-9FBE-C74FAD04231F}"/>
              </c:ext>
            </c:extLst>
          </c:dPt>
          <c:dPt>
            <c:idx val="577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483-4632-F841-9FBE-C74FAD04231F}"/>
              </c:ext>
            </c:extLst>
          </c:dPt>
          <c:dPt>
            <c:idx val="578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485-4632-F841-9FBE-C74FAD04231F}"/>
              </c:ext>
            </c:extLst>
          </c:dPt>
          <c:dPt>
            <c:idx val="579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487-4632-F841-9FBE-C74FAD04231F}"/>
              </c:ext>
            </c:extLst>
          </c:dPt>
          <c:dPt>
            <c:idx val="580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489-4632-F841-9FBE-C74FAD04231F}"/>
              </c:ext>
            </c:extLst>
          </c:dPt>
          <c:dPt>
            <c:idx val="581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48B-4632-F841-9FBE-C74FAD04231F}"/>
              </c:ext>
            </c:extLst>
          </c:dPt>
          <c:dPt>
            <c:idx val="582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48D-4632-F841-9FBE-C74FAD04231F}"/>
              </c:ext>
            </c:extLst>
          </c:dPt>
          <c:dPt>
            <c:idx val="583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48F-4632-F841-9FBE-C74FAD04231F}"/>
              </c:ext>
            </c:extLst>
          </c:dPt>
          <c:dPt>
            <c:idx val="584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491-4632-F841-9FBE-C74FAD04231F}"/>
              </c:ext>
            </c:extLst>
          </c:dPt>
          <c:dPt>
            <c:idx val="585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493-4632-F841-9FBE-C74FAD04231F}"/>
              </c:ext>
            </c:extLst>
          </c:dPt>
          <c:dPt>
            <c:idx val="586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495-4632-F841-9FBE-C74FAD04231F}"/>
              </c:ext>
            </c:extLst>
          </c:dPt>
          <c:dPt>
            <c:idx val="587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497-4632-F841-9FBE-C74FAD04231F}"/>
              </c:ext>
            </c:extLst>
          </c:dPt>
          <c:dPt>
            <c:idx val="588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499-4632-F841-9FBE-C74FAD04231F}"/>
              </c:ext>
            </c:extLst>
          </c:dPt>
          <c:dPt>
            <c:idx val="589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49B-4632-F841-9FBE-C74FAD04231F}"/>
              </c:ext>
            </c:extLst>
          </c:dPt>
          <c:dPt>
            <c:idx val="590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49D-4632-F841-9FBE-C74FAD04231F}"/>
              </c:ext>
            </c:extLst>
          </c:dPt>
          <c:dPt>
            <c:idx val="591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49F-4632-F841-9FBE-C74FAD04231F}"/>
              </c:ext>
            </c:extLst>
          </c:dPt>
          <c:dPt>
            <c:idx val="592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4A1-4632-F841-9FBE-C74FAD04231F}"/>
              </c:ext>
            </c:extLst>
          </c:dPt>
          <c:dPt>
            <c:idx val="593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4A3-4632-F841-9FBE-C74FAD04231F}"/>
              </c:ext>
            </c:extLst>
          </c:dPt>
          <c:dPt>
            <c:idx val="594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4A5-4632-F841-9FBE-C74FAD04231F}"/>
              </c:ext>
            </c:extLst>
          </c:dPt>
          <c:dPt>
            <c:idx val="595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4A7-4632-F841-9FBE-C74FAD04231F}"/>
              </c:ext>
            </c:extLst>
          </c:dPt>
          <c:dPt>
            <c:idx val="596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4A9-4632-F841-9FBE-C74FAD04231F}"/>
              </c:ext>
            </c:extLst>
          </c:dPt>
          <c:dPt>
            <c:idx val="597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4AB-4632-F841-9FBE-C74FAD04231F}"/>
              </c:ext>
            </c:extLst>
          </c:dPt>
          <c:dPt>
            <c:idx val="598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4AD-4632-F841-9FBE-C74FAD04231F}"/>
              </c:ext>
            </c:extLst>
          </c:dPt>
          <c:dPt>
            <c:idx val="599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4AF-4632-F841-9FBE-C74FAD04231F}"/>
              </c:ext>
            </c:extLst>
          </c:dPt>
          <c:dPt>
            <c:idx val="600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4B1-4632-F841-9FBE-C74FAD04231F}"/>
              </c:ext>
            </c:extLst>
          </c:dPt>
          <c:dPt>
            <c:idx val="601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4B3-4632-F841-9FBE-C74FAD04231F}"/>
              </c:ext>
            </c:extLst>
          </c:dPt>
          <c:dPt>
            <c:idx val="602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4B5-4632-F841-9FBE-C74FAD04231F}"/>
              </c:ext>
            </c:extLst>
          </c:dPt>
          <c:dPt>
            <c:idx val="603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4B7-4632-F841-9FBE-C74FAD04231F}"/>
              </c:ext>
            </c:extLst>
          </c:dPt>
          <c:dPt>
            <c:idx val="604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4B9-4632-F841-9FBE-C74FAD04231F}"/>
              </c:ext>
            </c:extLst>
          </c:dPt>
          <c:dPt>
            <c:idx val="605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4BB-4632-F841-9FBE-C74FAD04231F}"/>
              </c:ext>
            </c:extLst>
          </c:dPt>
          <c:dPt>
            <c:idx val="606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4BD-4632-F841-9FBE-C74FAD04231F}"/>
              </c:ext>
            </c:extLst>
          </c:dPt>
          <c:dPt>
            <c:idx val="607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4BF-4632-F841-9FBE-C74FAD04231F}"/>
              </c:ext>
            </c:extLst>
          </c:dPt>
          <c:dPt>
            <c:idx val="608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4C1-4632-F841-9FBE-C74FAD04231F}"/>
              </c:ext>
            </c:extLst>
          </c:dPt>
          <c:dPt>
            <c:idx val="609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4C3-4632-F841-9FBE-C74FAD04231F}"/>
              </c:ext>
            </c:extLst>
          </c:dPt>
          <c:dPt>
            <c:idx val="610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4C5-4632-F841-9FBE-C74FAD04231F}"/>
              </c:ext>
            </c:extLst>
          </c:dPt>
          <c:dPt>
            <c:idx val="611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4C7-4632-F841-9FBE-C74FAD04231F}"/>
              </c:ext>
            </c:extLst>
          </c:dPt>
          <c:dPt>
            <c:idx val="612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4C9-4632-F841-9FBE-C74FAD04231F}"/>
              </c:ext>
            </c:extLst>
          </c:dPt>
          <c:dPt>
            <c:idx val="613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4CB-4632-F841-9FBE-C74FAD04231F}"/>
              </c:ext>
            </c:extLst>
          </c:dPt>
          <c:dPt>
            <c:idx val="614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4CD-4632-F841-9FBE-C74FAD04231F}"/>
              </c:ext>
            </c:extLst>
          </c:dPt>
          <c:dPt>
            <c:idx val="615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4CF-4632-F841-9FBE-C74FAD04231F}"/>
              </c:ext>
            </c:extLst>
          </c:dPt>
          <c:dPt>
            <c:idx val="616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4D1-4632-F841-9FBE-C74FAD04231F}"/>
              </c:ext>
            </c:extLst>
          </c:dPt>
          <c:dPt>
            <c:idx val="617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4D3-4632-F841-9FBE-C74FAD04231F}"/>
              </c:ext>
            </c:extLst>
          </c:dPt>
          <c:dPt>
            <c:idx val="618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4D5-4632-F841-9FBE-C74FAD04231F}"/>
              </c:ext>
            </c:extLst>
          </c:dPt>
          <c:dPt>
            <c:idx val="619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4D7-4632-F841-9FBE-C74FAD04231F}"/>
              </c:ext>
            </c:extLst>
          </c:dPt>
          <c:dPt>
            <c:idx val="620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4D9-4632-F841-9FBE-C74FAD04231F}"/>
              </c:ext>
            </c:extLst>
          </c:dPt>
          <c:dPt>
            <c:idx val="621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4DB-4632-F841-9FBE-C74FAD04231F}"/>
              </c:ext>
            </c:extLst>
          </c:dPt>
          <c:dPt>
            <c:idx val="622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4DD-4632-F841-9FBE-C74FAD04231F}"/>
              </c:ext>
            </c:extLst>
          </c:dPt>
          <c:dPt>
            <c:idx val="623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4DF-4632-F841-9FBE-C74FAD04231F}"/>
              </c:ext>
            </c:extLst>
          </c:dPt>
          <c:dPt>
            <c:idx val="624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4E1-4632-F841-9FBE-C74FAD04231F}"/>
              </c:ext>
            </c:extLst>
          </c:dPt>
          <c:dPt>
            <c:idx val="625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4E3-4632-F841-9FBE-C74FAD04231F}"/>
              </c:ext>
            </c:extLst>
          </c:dPt>
          <c:dPt>
            <c:idx val="626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4E5-4632-F841-9FBE-C74FAD04231F}"/>
              </c:ext>
            </c:extLst>
          </c:dPt>
          <c:dPt>
            <c:idx val="627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4E7-4632-F841-9FBE-C74FAD04231F}"/>
              </c:ext>
            </c:extLst>
          </c:dPt>
          <c:dPt>
            <c:idx val="628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4E9-4632-F841-9FBE-C74FAD04231F}"/>
              </c:ext>
            </c:extLst>
          </c:dPt>
          <c:dPt>
            <c:idx val="629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4EB-4632-F841-9FBE-C74FAD04231F}"/>
              </c:ext>
            </c:extLst>
          </c:dPt>
          <c:dPt>
            <c:idx val="630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4ED-4632-F841-9FBE-C74FAD04231F}"/>
              </c:ext>
            </c:extLst>
          </c:dPt>
          <c:dPt>
            <c:idx val="631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4EF-4632-F841-9FBE-C74FAD04231F}"/>
              </c:ext>
            </c:extLst>
          </c:dPt>
          <c:dPt>
            <c:idx val="632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4F1-4632-F841-9FBE-C74FAD04231F}"/>
              </c:ext>
            </c:extLst>
          </c:dPt>
          <c:dPt>
            <c:idx val="633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4F3-4632-F841-9FBE-C74FAD04231F}"/>
              </c:ext>
            </c:extLst>
          </c:dPt>
          <c:dPt>
            <c:idx val="634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4F5-4632-F841-9FBE-C74FAD04231F}"/>
              </c:ext>
            </c:extLst>
          </c:dPt>
          <c:dPt>
            <c:idx val="635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4F7-4632-F841-9FBE-C74FAD04231F}"/>
              </c:ext>
            </c:extLst>
          </c:dPt>
          <c:dPt>
            <c:idx val="636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4F9-4632-F841-9FBE-C74FAD04231F}"/>
              </c:ext>
            </c:extLst>
          </c:dPt>
          <c:dPt>
            <c:idx val="637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4FB-4632-F841-9FBE-C74FAD04231F}"/>
              </c:ext>
            </c:extLst>
          </c:dPt>
          <c:dPt>
            <c:idx val="638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4FD-4632-F841-9FBE-C74FAD04231F}"/>
              </c:ext>
            </c:extLst>
          </c:dPt>
          <c:dPt>
            <c:idx val="639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4FF-4632-F841-9FBE-C74FAD04231F}"/>
              </c:ext>
            </c:extLst>
          </c:dPt>
          <c:dPt>
            <c:idx val="640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501-4632-F841-9FBE-C74FAD04231F}"/>
              </c:ext>
            </c:extLst>
          </c:dPt>
          <c:dPt>
            <c:idx val="641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503-4632-F841-9FBE-C74FAD04231F}"/>
              </c:ext>
            </c:extLst>
          </c:dPt>
          <c:dPt>
            <c:idx val="642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505-4632-F841-9FBE-C74FAD04231F}"/>
              </c:ext>
            </c:extLst>
          </c:dPt>
          <c:dPt>
            <c:idx val="643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507-4632-F841-9FBE-C74FAD04231F}"/>
              </c:ext>
            </c:extLst>
          </c:dPt>
          <c:dPt>
            <c:idx val="644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509-4632-F841-9FBE-C74FAD04231F}"/>
              </c:ext>
            </c:extLst>
          </c:dPt>
          <c:dPt>
            <c:idx val="645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50B-4632-F841-9FBE-C74FAD04231F}"/>
              </c:ext>
            </c:extLst>
          </c:dPt>
          <c:dPt>
            <c:idx val="646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50D-4632-F841-9FBE-C74FAD04231F}"/>
              </c:ext>
            </c:extLst>
          </c:dPt>
          <c:dPt>
            <c:idx val="647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50F-4632-F841-9FBE-C74FAD04231F}"/>
              </c:ext>
            </c:extLst>
          </c:dPt>
          <c:dPt>
            <c:idx val="648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511-4632-F841-9FBE-C74FAD04231F}"/>
              </c:ext>
            </c:extLst>
          </c:dPt>
          <c:dPt>
            <c:idx val="649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513-4632-F841-9FBE-C74FAD04231F}"/>
              </c:ext>
            </c:extLst>
          </c:dPt>
          <c:dPt>
            <c:idx val="650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515-4632-F841-9FBE-C74FAD04231F}"/>
              </c:ext>
            </c:extLst>
          </c:dPt>
          <c:dPt>
            <c:idx val="651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517-4632-F841-9FBE-C74FAD04231F}"/>
              </c:ext>
            </c:extLst>
          </c:dPt>
          <c:dPt>
            <c:idx val="652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519-4632-F841-9FBE-C74FAD04231F}"/>
              </c:ext>
            </c:extLst>
          </c:dPt>
          <c:dPt>
            <c:idx val="653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51B-4632-F841-9FBE-C74FAD04231F}"/>
              </c:ext>
            </c:extLst>
          </c:dPt>
          <c:dPt>
            <c:idx val="654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51D-4632-F841-9FBE-C74FAD04231F}"/>
              </c:ext>
            </c:extLst>
          </c:dPt>
          <c:dPt>
            <c:idx val="655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51F-4632-F841-9FBE-C74FAD04231F}"/>
              </c:ext>
            </c:extLst>
          </c:dPt>
          <c:dPt>
            <c:idx val="656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521-4632-F841-9FBE-C74FAD04231F}"/>
              </c:ext>
            </c:extLst>
          </c:dPt>
          <c:dPt>
            <c:idx val="657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523-4632-F841-9FBE-C74FAD04231F}"/>
              </c:ext>
            </c:extLst>
          </c:dPt>
          <c:dPt>
            <c:idx val="658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525-4632-F841-9FBE-C74FAD04231F}"/>
              </c:ext>
            </c:extLst>
          </c:dPt>
          <c:dPt>
            <c:idx val="659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527-4632-F841-9FBE-C74FAD04231F}"/>
              </c:ext>
            </c:extLst>
          </c:dPt>
          <c:dPt>
            <c:idx val="660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529-4632-F841-9FBE-C74FAD04231F}"/>
              </c:ext>
            </c:extLst>
          </c:dPt>
          <c:dPt>
            <c:idx val="661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52B-4632-F841-9FBE-C74FAD04231F}"/>
              </c:ext>
            </c:extLst>
          </c:dPt>
          <c:dPt>
            <c:idx val="662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52D-4632-F841-9FBE-C74FAD04231F}"/>
              </c:ext>
            </c:extLst>
          </c:dPt>
          <c:dPt>
            <c:idx val="663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52F-4632-F841-9FBE-C74FAD04231F}"/>
              </c:ext>
            </c:extLst>
          </c:dPt>
          <c:dPt>
            <c:idx val="664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531-4632-F841-9FBE-C74FAD04231F}"/>
              </c:ext>
            </c:extLst>
          </c:dPt>
          <c:dPt>
            <c:idx val="665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533-4632-F841-9FBE-C74FAD04231F}"/>
              </c:ext>
            </c:extLst>
          </c:dPt>
          <c:dPt>
            <c:idx val="666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535-4632-F841-9FBE-C74FAD04231F}"/>
              </c:ext>
            </c:extLst>
          </c:dPt>
          <c:dPt>
            <c:idx val="667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537-4632-F841-9FBE-C74FAD04231F}"/>
              </c:ext>
            </c:extLst>
          </c:dPt>
          <c:dPt>
            <c:idx val="668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539-4632-F841-9FBE-C74FAD04231F}"/>
              </c:ext>
            </c:extLst>
          </c:dPt>
          <c:dPt>
            <c:idx val="669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53B-4632-F841-9FBE-C74FAD04231F}"/>
              </c:ext>
            </c:extLst>
          </c:dPt>
          <c:dPt>
            <c:idx val="670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53D-4632-F841-9FBE-C74FAD04231F}"/>
              </c:ext>
            </c:extLst>
          </c:dPt>
          <c:dPt>
            <c:idx val="671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53F-4632-F841-9FBE-C74FAD04231F}"/>
              </c:ext>
            </c:extLst>
          </c:dPt>
          <c:dPt>
            <c:idx val="672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541-4632-F841-9FBE-C74FAD04231F}"/>
              </c:ext>
            </c:extLst>
          </c:dPt>
          <c:dPt>
            <c:idx val="673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543-4632-F841-9FBE-C74FAD04231F}"/>
              </c:ext>
            </c:extLst>
          </c:dPt>
          <c:dPt>
            <c:idx val="674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545-4632-F841-9FBE-C74FAD04231F}"/>
              </c:ext>
            </c:extLst>
          </c:dPt>
          <c:dPt>
            <c:idx val="675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547-4632-F841-9FBE-C74FAD04231F}"/>
              </c:ext>
            </c:extLst>
          </c:dPt>
          <c:dPt>
            <c:idx val="676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549-4632-F841-9FBE-C74FAD04231F}"/>
              </c:ext>
            </c:extLst>
          </c:dPt>
          <c:dPt>
            <c:idx val="677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54B-4632-F841-9FBE-C74FAD04231F}"/>
              </c:ext>
            </c:extLst>
          </c:dPt>
          <c:dPt>
            <c:idx val="678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54D-4632-F841-9FBE-C74FAD04231F}"/>
              </c:ext>
            </c:extLst>
          </c:dPt>
          <c:dPt>
            <c:idx val="679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54F-4632-F841-9FBE-C74FAD04231F}"/>
              </c:ext>
            </c:extLst>
          </c:dPt>
          <c:dPt>
            <c:idx val="680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551-4632-F841-9FBE-C74FAD04231F}"/>
              </c:ext>
            </c:extLst>
          </c:dPt>
          <c:dPt>
            <c:idx val="681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553-4632-F841-9FBE-C74FAD04231F}"/>
              </c:ext>
            </c:extLst>
          </c:dPt>
          <c:dPt>
            <c:idx val="682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555-4632-F841-9FBE-C74FAD04231F}"/>
              </c:ext>
            </c:extLst>
          </c:dPt>
          <c:dPt>
            <c:idx val="683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557-4632-F841-9FBE-C74FAD04231F}"/>
              </c:ext>
            </c:extLst>
          </c:dPt>
          <c:dPt>
            <c:idx val="684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559-4632-F841-9FBE-C74FAD04231F}"/>
              </c:ext>
            </c:extLst>
          </c:dPt>
          <c:dPt>
            <c:idx val="685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55B-4632-F841-9FBE-C74FAD04231F}"/>
              </c:ext>
            </c:extLst>
          </c:dPt>
          <c:dPt>
            <c:idx val="686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55D-4632-F841-9FBE-C74FAD04231F}"/>
              </c:ext>
            </c:extLst>
          </c:dPt>
          <c:dPt>
            <c:idx val="687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55F-4632-F841-9FBE-C74FAD04231F}"/>
              </c:ext>
            </c:extLst>
          </c:dPt>
          <c:dPt>
            <c:idx val="688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561-4632-F841-9FBE-C74FAD04231F}"/>
              </c:ext>
            </c:extLst>
          </c:dPt>
          <c:dPt>
            <c:idx val="689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563-4632-F841-9FBE-C74FAD04231F}"/>
              </c:ext>
            </c:extLst>
          </c:dPt>
          <c:dPt>
            <c:idx val="690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565-4632-F841-9FBE-C74FAD04231F}"/>
              </c:ext>
            </c:extLst>
          </c:dPt>
          <c:dPt>
            <c:idx val="691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567-4632-F841-9FBE-C74FAD04231F}"/>
              </c:ext>
            </c:extLst>
          </c:dPt>
          <c:dPt>
            <c:idx val="692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569-4632-F841-9FBE-C74FAD04231F}"/>
              </c:ext>
            </c:extLst>
          </c:dPt>
          <c:dPt>
            <c:idx val="693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56B-4632-F841-9FBE-C74FAD04231F}"/>
              </c:ext>
            </c:extLst>
          </c:dPt>
          <c:dPt>
            <c:idx val="694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56D-4632-F841-9FBE-C74FAD04231F}"/>
              </c:ext>
            </c:extLst>
          </c:dPt>
          <c:dPt>
            <c:idx val="695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56F-4632-F841-9FBE-C74FAD04231F}"/>
              </c:ext>
            </c:extLst>
          </c:dPt>
          <c:dPt>
            <c:idx val="696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571-4632-F841-9FBE-C74FAD04231F}"/>
              </c:ext>
            </c:extLst>
          </c:dPt>
          <c:dPt>
            <c:idx val="697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573-4632-F841-9FBE-C74FAD04231F}"/>
              </c:ext>
            </c:extLst>
          </c:dPt>
          <c:dPt>
            <c:idx val="698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575-4632-F841-9FBE-C74FAD04231F}"/>
              </c:ext>
            </c:extLst>
          </c:dPt>
          <c:dPt>
            <c:idx val="699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577-4632-F841-9FBE-C74FAD04231F}"/>
              </c:ext>
            </c:extLst>
          </c:dPt>
          <c:dPt>
            <c:idx val="700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579-4632-F841-9FBE-C74FAD04231F}"/>
              </c:ext>
            </c:extLst>
          </c:dPt>
          <c:dPt>
            <c:idx val="701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57B-4632-F841-9FBE-C74FAD04231F}"/>
              </c:ext>
            </c:extLst>
          </c:dPt>
          <c:dPt>
            <c:idx val="702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57D-4632-F841-9FBE-C74FAD04231F}"/>
              </c:ext>
            </c:extLst>
          </c:dPt>
          <c:dPt>
            <c:idx val="703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57F-4632-F841-9FBE-C74FAD04231F}"/>
              </c:ext>
            </c:extLst>
          </c:dPt>
          <c:dPt>
            <c:idx val="704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581-4632-F841-9FBE-C74FAD04231F}"/>
              </c:ext>
            </c:extLst>
          </c:dPt>
          <c:dPt>
            <c:idx val="705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583-4632-F841-9FBE-C74FAD04231F}"/>
              </c:ext>
            </c:extLst>
          </c:dPt>
          <c:dPt>
            <c:idx val="706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585-4632-F841-9FBE-C74FAD04231F}"/>
              </c:ext>
            </c:extLst>
          </c:dPt>
          <c:dPt>
            <c:idx val="707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587-4632-F841-9FBE-C74FAD04231F}"/>
              </c:ext>
            </c:extLst>
          </c:dPt>
          <c:dPt>
            <c:idx val="708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589-4632-F841-9FBE-C74FAD04231F}"/>
              </c:ext>
            </c:extLst>
          </c:dPt>
          <c:dPt>
            <c:idx val="709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58B-4632-F841-9FBE-C74FAD04231F}"/>
              </c:ext>
            </c:extLst>
          </c:dPt>
          <c:dPt>
            <c:idx val="710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58D-4632-F841-9FBE-C74FAD04231F}"/>
              </c:ext>
            </c:extLst>
          </c:dPt>
          <c:dPt>
            <c:idx val="711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58F-4632-F841-9FBE-C74FAD04231F}"/>
              </c:ext>
            </c:extLst>
          </c:dPt>
          <c:dPt>
            <c:idx val="712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591-4632-F841-9FBE-C74FAD04231F}"/>
              </c:ext>
            </c:extLst>
          </c:dPt>
          <c:dPt>
            <c:idx val="713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593-4632-F841-9FBE-C74FAD04231F}"/>
              </c:ext>
            </c:extLst>
          </c:dPt>
          <c:dPt>
            <c:idx val="714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595-4632-F841-9FBE-C74FAD04231F}"/>
              </c:ext>
            </c:extLst>
          </c:dPt>
          <c:dPt>
            <c:idx val="715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597-4632-F841-9FBE-C74FAD04231F}"/>
              </c:ext>
            </c:extLst>
          </c:dPt>
          <c:dPt>
            <c:idx val="716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599-4632-F841-9FBE-C74FAD04231F}"/>
              </c:ext>
            </c:extLst>
          </c:dPt>
          <c:dPt>
            <c:idx val="717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59B-4632-F841-9FBE-C74FAD04231F}"/>
              </c:ext>
            </c:extLst>
          </c:dPt>
          <c:dPt>
            <c:idx val="718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59D-4632-F841-9FBE-C74FAD04231F}"/>
              </c:ext>
            </c:extLst>
          </c:dPt>
          <c:dPt>
            <c:idx val="719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59F-4632-F841-9FBE-C74FAD04231F}"/>
              </c:ext>
            </c:extLst>
          </c:dPt>
          <c:dPt>
            <c:idx val="720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5A1-4632-F841-9FBE-C74FAD04231F}"/>
              </c:ext>
            </c:extLst>
          </c:dPt>
          <c:dPt>
            <c:idx val="721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5A3-4632-F841-9FBE-C74FAD04231F}"/>
              </c:ext>
            </c:extLst>
          </c:dPt>
          <c:dPt>
            <c:idx val="722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5A5-4632-F841-9FBE-C74FAD04231F}"/>
              </c:ext>
            </c:extLst>
          </c:dPt>
          <c:dPt>
            <c:idx val="723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5A7-4632-F841-9FBE-C74FAD04231F}"/>
              </c:ext>
            </c:extLst>
          </c:dPt>
          <c:dPt>
            <c:idx val="724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5A9-4632-F841-9FBE-C74FAD04231F}"/>
              </c:ext>
            </c:extLst>
          </c:dPt>
          <c:dPt>
            <c:idx val="725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5AB-4632-F841-9FBE-C74FAD04231F}"/>
              </c:ext>
            </c:extLst>
          </c:dPt>
          <c:dPt>
            <c:idx val="726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5AD-4632-F841-9FBE-C74FAD04231F}"/>
              </c:ext>
            </c:extLst>
          </c:dPt>
          <c:dPt>
            <c:idx val="727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5AF-4632-F841-9FBE-C74FAD04231F}"/>
              </c:ext>
            </c:extLst>
          </c:dPt>
          <c:dPt>
            <c:idx val="728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5B1-4632-F841-9FBE-C74FAD04231F}"/>
              </c:ext>
            </c:extLst>
          </c:dPt>
          <c:dPt>
            <c:idx val="729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5B3-4632-F841-9FBE-C74FAD04231F}"/>
              </c:ext>
            </c:extLst>
          </c:dPt>
          <c:dPt>
            <c:idx val="730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5B5-4632-F841-9FBE-C74FAD04231F}"/>
              </c:ext>
            </c:extLst>
          </c:dPt>
          <c:dPt>
            <c:idx val="731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5B7-4632-F841-9FBE-C74FAD04231F}"/>
              </c:ext>
            </c:extLst>
          </c:dPt>
          <c:dPt>
            <c:idx val="732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5B9-4632-F841-9FBE-C74FAD04231F}"/>
              </c:ext>
            </c:extLst>
          </c:dPt>
          <c:dPt>
            <c:idx val="733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5BB-4632-F841-9FBE-C74FAD04231F}"/>
              </c:ext>
            </c:extLst>
          </c:dPt>
          <c:dPt>
            <c:idx val="734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5BD-4632-F841-9FBE-C74FAD04231F}"/>
              </c:ext>
            </c:extLst>
          </c:dPt>
          <c:dPt>
            <c:idx val="735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5BF-4632-F841-9FBE-C74FAD04231F}"/>
              </c:ext>
            </c:extLst>
          </c:dPt>
          <c:dPt>
            <c:idx val="736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5C1-4632-F841-9FBE-C74FAD04231F}"/>
              </c:ext>
            </c:extLst>
          </c:dPt>
          <c:dPt>
            <c:idx val="737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5C3-4632-F841-9FBE-C74FAD04231F}"/>
              </c:ext>
            </c:extLst>
          </c:dPt>
          <c:dPt>
            <c:idx val="738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5C5-4632-F841-9FBE-C74FAD04231F}"/>
              </c:ext>
            </c:extLst>
          </c:dPt>
          <c:dPt>
            <c:idx val="739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5C7-4632-F841-9FBE-C74FAD04231F}"/>
              </c:ext>
            </c:extLst>
          </c:dPt>
          <c:dPt>
            <c:idx val="740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5C9-4632-F841-9FBE-C74FAD04231F}"/>
              </c:ext>
            </c:extLst>
          </c:dPt>
          <c:dPt>
            <c:idx val="741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5CB-4632-F841-9FBE-C74FAD04231F}"/>
              </c:ext>
            </c:extLst>
          </c:dPt>
          <c:dPt>
            <c:idx val="742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5CD-4632-F841-9FBE-C74FAD04231F}"/>
              </c:ext>
            </c:extLst>
          </c:dPt>
          <c:dPt>
            <c:idx val="743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5CF-4632-F841-9FBE-C74FAD04231F}"/>
              </c:ext>
            </c:extLst>
          </c:dPt>
          <c:dPt>
            <c:idx val="744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5D1-4632-F841-9FBE-C74FAD04231F}"/>
              </c:ext>
            </c:extLst>
          </c:dPt>
          <c:dPt>
            <c:idx val="745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5D3-4632-F841-9FBE-C74FAD04231F}"/>
              </c:ext>
            </c:extLst>
          </c:dPt>
          <c:dPt>
            <c:idx val="746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5D5-4632-F841-9FBE-C74FAD04231F}"/>
              </c:ext>
            </c:extLst>
          </c:dPt>
          <c:dPt>
            <c:idx val="747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5D7-4632-F841-9FBE-C74FAD04231F}"/>
              </c:ext>
            </c:extLst>
          </c:dPt>
          <c:dPt>
            <c:idx val="748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5D9-4632-F841-9FBE-C74FAD04231F}"/>
              </c:ext>
            </c:extLst>
          </c:dPt>
          <c:dPt>
            <c:idx val="749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5DB-4632-F841-9FBE-C74FAD04231F}"/>
              </c:ext>
            </c:extLst>
          </c:dPt>
          <c:dPt>
            <c:idx val="750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5DD-4632-F841-9FBE-C74FAD04231F}"/>
              </c:ext>
            </c:extLst>
          </c:dPt>
          <c:dPt>
            <c:idx val="751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5DF-4632-F841-9FBE-C74FAD04231F}"/>
              </c:ext>
            </c:extLst>
          </c:dPt>
          <c:dPt>
            <c:idx val="752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5E1-4632-F841-9FBE-C74FAD04231F}"/>
              </c:ext>
            </c:extLst>
          </c:dPt>
          <c:dPt>
            <c:idx val="753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5E3-4632-F841-9FBE-C74FAD04231F}"/>
              </c:ext>
            </c:extLst>
          </c:dPt>
          <c:dPt>
            <c:idx val="754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5E5-4632-F841-9FBE-C74FAD04231F}"/>
              </c:ext>
            </c:extLst>
          </c:dPt>
          <c:dPt>
            <c:idx val="755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5E7-4632-F841-9FBE-C74FAD04231F}"/>
              </c:ext>
            </c:extLst>
          </c:dPt>
          <c:dPt>
            <c:idx val="756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5E9-4632-F841-9FBE-C74FAD04231F}"/>
              </c:ext>
            </c:extLst>
          </c:dPt>
          <c:dPt>
            <c:idx val="757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5EB-4632-F841-9FBE-C74FAD04231F}"/>
              </c:ext>
            </c:extLst>
          </c:dPt>
          <c:dPt>
            <c:idx val="758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5ED-4632-F841-9FBE-C74FAD04231F}"/>
              </c:ext>
            </c:extLst>
          </c:dPt>
          <c:dPt>
            <c:idx val="759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5EF-4632-F841-9FBE-C74FAD04231F}"/>
              </c:ext>
            </c:extLst>
          </c:dPt>
          <c:dPt>
            <c:idx val="760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5F1-4632-F841-9FBE-C74FAD04231F}"/>
              </c:ext>
            </c:extLst>
          </c:dPt>
          <c:dPt>
            <c:idx val="761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5F3-4632-F841-9FBE-C74FAD04231F}"/>
              </c:ext>
            </c:extLst>
          </c:dPt>
          <c:dPt>
            <c:idx val="762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5F5-4632-F841-9FBE-C74FAD04231F}"/>
              </c:ext>
            </c:extLst>
          </c:dPt>
          <c:dPt>
            <c:idx val="763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5F7-4632-F841-9FBE-C74FAD04231F}"/>
              </c:ext>
            </c:extLst>
          </c:dPt>
          <c:dPt>
            <c:idx val="764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5F9-4632-F841-9FBE-C74FAD04231F}"/>
              </c:ext>
            </c:extLst>
          </c:dPt>
          <c:dPt>
            <c:idx val="765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5FB-4632-F841-9FBE-C74FAD04231F}"/>
              </c:ext>
            </c:extLst>
          </c:dPt>
          <c:dPt>
            <c:idx val="766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5FD-4632-F841-9FBE-C74FAD04231F}"/>
              </c:ext>
            </c:extLst>
          </c:dPt>
          <c:dPt>
            <c:idx val="767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5FF-4632-F841-9FBE-C74FAD04231F}"/>
              </c:ext>
            </c:extLst>
          </c:dPt>
          <c:dPt>
            <c:idx val="768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601-4632-F841-9FBE-C74FAD04231F}"/>
              </c:ext>
            </c:extLst>
          </c:dPt>
          <c:dPt>
            <c:idx val="769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603-4632-F841-9FBE-C74FAD04231F}"/>
              </c:ext>
            </c:extLst>
          </c:dPt>
          <c:dPt>
            <c:idx val="770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605-4632-F841-9FBE-C74FAD04231F}"/>
              </c:ext>
            </c:extLst>
          </c:dPt>
          <c:dPt>
            <c:idx val="771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607-4632-F841-9FBE-C74FAD04231F}"/>
              </c:ext>
            </c:extLst>
          </c:dPt>
          <c:dPt>
            <c:idx val="772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609-4632-F841-9FBE-C74FAD04231F}"/>
              </c:ext>
            </c:extLst>
          </c:dPt>
          <c:dPt>
            <c:idx val="773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60B-4632-F841-9FBE-C74FAD04231F}"/>
              </c:ext>
            </c:extLst>
          </c:dPt>
          <c:dPt>
            <c:idx val="774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60D-4632-F841-9FBE-C74FAD04231F}"/>
              </c:ext>
            </c:extLst>
          </c:dPt>
          <c:dPt>
            <c:idx val="775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60F-4632-F841-9FBE-C74FAD04231F}"/>
              </c:ext>
            </c:extLst>
          </c:dPt>
          <c:dPt>
            <c:idx val="776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611-4632-F841-9FBE-C74FAD04231F}"/>
              </c:ext>
            </c:extLst>
          </c:dPt>
          <c:dPt>
            <c:idx val="777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613-4632-F841-9FBE-C74FAD04231F}"/>
              </c:ext>
            </c:extLst>
          </c:dPt>
          <c:dPt>
            <c:idx val="778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615-4632-F841-9FBE-C74FAD04231F}"/>
              </c:ext>
            </c:extLst>
          </c:dPt>
          <c:dPt>
            <c:idx val="779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617-4632-F841-9FBE-C74FAD04231F}"/>
              </c:ext>
            </c:extLst>
          </c:dPt>
          <c:dPt>
            <c:idx val="780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619-4632-F841-9FBE-C74FAD04231F}"/>
              </c:ext>
            </c:extLst>
          </c:dPt>
          <c:dPt>
            <c:idx val="781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61B-4632-F841-9FBE-C74FAD04231F}"/>
              </c:ext>
            </c:extLst>
          </c:dPt>
          <c:dPt>
            <c:idx val="782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61D-4632-F841-9FBE-C74FAD04231F}"/>
              </c:ext>
            </c:extLst>
          </c:dPt>
          <c:dPt>
            <c:idx val="783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61F-4632-F841-9FBE-C74FAD04231F}"/>
              </c:ext>
            </c:extLst>
          </c:dPt>
          <c:dPt>
            <c:idx val="784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621-4632-F841-9FBE-C74FAD04231F}"/>
              </c:ext>
            </c:extLst>
          </c:dPt>
          <c:dPt>
            <c:idx val="785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623-4632-F841-9FBE-C74FAD04231F}"/>
              </c:ext>
            </c:extLst>
          </c:dPt>
          <c:dPt>
            <c:idx val="786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625-4632-F841-9FBE-C74FAD04231F}"/>
              </c:ext>
            </c:extLst>
          </c:dPt>
          <c:dPt>
            <c:idx val="787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627-4632-F841-9FBE-C74FAD04231F}"/>
              </c:ext>
            </c:extLst>
          </c:dPt>
          <c:dPt>
            <c:idx val="788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629-4632-F841-9FBE-C74FAD04231F}"/>
              </c:ext>
            </c:extLst>
          </c:dPt>
          <c:dPt>
            <c:idx val="789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62B-4632-F841-9FBE-C74FAD04231F}"/>
              </c:ext>
            </c:extLst>
          </c:dPt>
          <c:dPt>
            <c:idx val="790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62D-4632-F841-9FBE-C74FAD04231F}"/>
              </c:ext>
            </c:extLst>
          </c:dPt>
          <c:dPt>
            <c:idx val="791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62F-4632-F841-9FBE-C74FAD04231F}"/>
              </c:ext>
            </c:extLst>
          </c:dPt>
          <c:dPt>
            <c:idx val="792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631-4632-F841-9FBE-C74FAD04231F}"/>
              </c:ext>
            </c:extLst>
          </c:dPt>
          <c:dPt>
            <c:idx val="793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633-4632-F841-9FBE-C74FAD04231F}"/>
              </c:ext>
            </c:extLst>
          </c:dPt>
          <c:dPt>
            <c:idx val="794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635-4632-F841-9FBE-C74FAD04231F}"/>
              </c:ext>
            </c:extLst>
          </c:dPt>
          <c:dPt>
            <c:idx val="795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637-4632-F841-9FBE-C74FAD04231F}"/>
              </c:ext>
            </c:extLst>
          </c:dPt>
          <c:dPt>
            <c:idx val="796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639-4632-F841-9FBE-C74FAD04231F}"/>
              </c:ext>
            </c:extLst>
          </c:dPt>
          <c:dPt>
            <c:idx val="797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63B-4632-F841-9FBE-C74FAD04231F}"/>
              </c:ext>
            </c:extLst>
          </c:dPt>
          <c:dPt>
            <c:idx val="798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63D-4632-F841-9FBE-C74FAD04231F}"/>
              </c:ext>
            </c:extLst>
          </c:dPt>
          <c:dPt>
            <c:idx val="799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63F-4632-F841-9FBE-C74FAD04231F}"/>
              </c:ext>
            </c:extLst>
          </c:dPt>
          <c:dPt>
            <c:idx val="800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641-4632-F841-9FBE-C74FAD04231F}"/>
              </c:ext>
            </c:extLst>
          </c:dPt>
          <c:dPt>
            <c:idx val="801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643-4632-F841-9FBE-C74FAD04231F}"/>
              </c:ext>
            </c:extLst>
          </c:dPt>
          <c:dPt>
            <c:idx val="802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645-4632-F841-9FBE-C74FAD04231F}"/>
              </c:ext>
            </c:extLst>
          </c:dPt>
          <c:dPt>
            <c:idx val="803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647-4632-F841-9FBE-C74FAD04231F}"/>
              </c:ext>
            </c:extLst>
          </c:dPt>
          <c:dPt>
            <c:idx val="804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649-4632-F841-9FBE-C74FAD04231F}"/>
              </c:ext>
            </c:extLst>
          </c:dPt>
          <c:dPt>
            <c:idx val="805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64B-4632-F841-9FBE-C74FAD04231F}"/>
              </c:ext>
            </c:extLst>
          </c:dPt>
          <c:dPt>
            <c:idx val="806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64D-4632-F841-9FBE-C74FAD04231F}"/>
              </c:ext>
            </c:extLst>
          </c:dPt>
          <c:dPt>
            <c:idx val="807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64F-4632-F841-9FBE-C74FAD04231F}"/>
              </c:ext>
            </c:extLst>
          </c:dPt>
          <c:dPt>
            <c:idx val="808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651-4632-F841-9FBE-C74FAD04231F}"/>
              </c:ext>
            </c:extLst>
          </c:dPt>
          <c:dPt>
            <c:idx val="809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653-4632-F841-9FBE-C74FAD04231F}"/>
              </c:ext>
            </c:extLst>
          </c:dPt>
          <c:dPt>
            <c:idx val="810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655-4632-F841-9FBE-C74FAD04231F}"/>
              </c:ext>
            </c:extLst>
          </c:dPt>
          <c:dPt>
            <c:idx val="811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657-4632-F841-9FBE-C74FAD04231F}"/>
              </c:ext>
            </c:extLst>
          </c:dPt>
          <c:dPt>
            <c:idx val="812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659-4632-F841-9FBE-C74FAD04231F}"/>
              </c:ext>
            </c:extLst>
          </c:dPt>
          <c:dPt>
            <c:idx val="813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65B-4632-F841-9FBE-C74FAD04231F}"/>
              </c:ext>
            </c:extLst>
          </c:dPt>
          <c:dPt>
            <c:idx val="814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65D-4632-F841-9FBE-C74FAD04231F}"/>
              </c:ext>
            </c:extLst>
          </c:dPt>
          <c:dPt>
            <c:idx val="815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65F-4632-F841-9FBE-C74FAD04231F}"/>
              </c:ext>
            </c:extLst>
          </c:dPt>
          <c:dPt>
            <c:idx val="816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661-4632-F841-9FBE-C74FAD04231F}"/>
              </c:ext>
            </c:extLst>
          </c:dPt>
          <c:dPt>
            <c:idx val="817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663-4632-F841-9FBE-C74FAD04231F}"/>
              </c:ext>
            </c:extLst>
          </c:dPt>
          <c:dPt>
            <c:idx val="818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665-4632-F841-9FBE-C74FAD04231F}"/>
              </c:ext>
            </c:extLst>
          </c:dPt>
          <c:dPt>
            <c:idx val="819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667-4632-F841-9FBE-C74FAD04231F}"/>
              </c:ext>
            </c:extLst>
          </c:dPt>
          <c:dPt>
            <c:idx val="820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669-4632-F841-9FBE-C74FAD04231F}"/>
              </c:ext>
            </c:extLst>
          </c:dPt>
          <c:dPt>
            <c:idx val="821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66B-4632-F841-9FBE-C74FAD04231F}"/>
              </c:ext>
            </c:extLst>
          </c:dPt>
          <c:dPt>
            <c:idx val="822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66D-4632-F841-9FBE-C74FAD04231F}"/>
              </c:ext>
            </c:extLst>
          </c:dPt>
          <c:dPt>
            <c:idx val="823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66F-4632-F841-9FBE-C74FAD04231F}"/>
              </c:ext>
            </c:extLst>
          </c:dPt>
          <c:dPt>
            <c:idx val="824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671-4632-F841-9FBE-C74FAD04231F}"/>
              </c:ext>
            </c:extLst>
          </c:dPt>
          <c:dPt>
            <c:idx val="825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673-4632-F841-9FBE-C74FAD04231F}"/>
              </c:ext>
            </c:extLst>
          </c:dPt>
          <c:dPt>
            <c:idx val="826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675-4632-F841-9FBE-C74FAD04231F}"/>
              </c:ext>
            </c:extLst>
          </c:dPt>
          <c:dPt>
            <c:idx val="827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677-4632-F841-9FBE-C74FAD04231F}"/>
              </c:ext>
            </c:extLst>
          </c:dPt>
          <c:dPt>
            <c:idx val="828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679-4632-F841-9FBE-C74FAD04231F}"/>
              </c:ext>
            </c:extLst>
          </c:dPt>
          <c:dPt>
            <c:idx val="829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67B-4632-F841-9FBE-C74FAD04231F}"/>
              </c:ext>
            </c:extLst>
          </c:dPt>
          <c:dPt>
            <c:idx val="830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67D-4632-F841-9FBE-C74FAD04231F}"/>
              </c:ext>
            </c:extLst>
          </c:dPt>
          <c:dPt>
            <c:idx val="831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67F-4632-F841-9FBE-C74FAD04231F}"/>
              </c:ext>
            </c:extLst>
          </c:dPt>
          <c:dPt>
            <c:idx val="832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681-4632-F841-9FBE-C74FAD04231F}"/>
              </c:ext>
            </c:extLst>
          </c:dPt>
          <c:dPt>
            <c:idx val="833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683-4632-F841-9FBE-C74FAD04231F}"/>
              </c:ext>
            </c:extLst>
          </c:dPt>
          <c:dPt>
            <c:idx val="834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685-4632-F841-9FBE-C74FAD04231F}"/>
              </c:ext>
            </c:extLst>
          </c:dPt>
          <c:dPt>
            <c:idx val="835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687-4632-F841-9FBE-C74FAD04231F}"/>
              </c:ext>
            </c:extLst>
          </c:dPt>
          <c:dPt>
            <c:idx val="836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689-4632-F841-9FBE-C74FAD04231F}"/>
              </c:ext>
            </c:extLst>
          </c:dPt>
          <c:dPt>
            <c:idx val="837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68B-4632-F841-9FBE-C74FAD04231F}"/>
              </c:ext>
            </c:extLst>
          </c:dPt>
          <c:dPt>
            <c:idx val="838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68D-4632-F841-9FBE-C74FAD04231F}"/>
              </c:ext>
            </c:extLst>
          </c:dPt>
          <c:dPt>
            <c:idx val="839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68F-4632-F841-9FBE-C74FAD04231F}"/>
              </c:ext>
            </c:extLst>
          </c:dPt>
          <c:dPt>
            <c:idx val="840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691-4632-F841-9FBE-C74FAD04231F}"/>
              </c:ext>
            </c:extLst>
          </c:dPt>
          <c:dPt>
            <c:idx val="841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693-4632-F841-9FBE-C74FAD04231F}"/>
              </c:ext>
            </c:extLst>
          </c:dPt>
          <c:dPt>
            <c:idx val="842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695-4632-F841-9FBE-C74FAD04231F}"/>
              </c:ext>
            </c:extLst>
          </c:dPt>
          <c:dPt>
            <c:idx val="843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697-4632-F841-9FBE-C74FAD04231F}"/>
              </c:ext>
            </c:extLst>
          </c:dPt>
          <c:dPt>
            <c:idx val="844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699-4632-F841-9FBE-C74FAD04231F}"/>
              </c:ext>
            </c:extLst>
          </c:dPt>
          <c:dPt>
            <c:idx val="845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69B-4632-F841-9FBE-C74FAD04231F}"/>
              </c:ext>
            </c:extLst>
          </c:dPt>
          <c:dPt>
            <c:idx val="846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69D-4632-F841-9FBE-C74FAD04231F}"/>
              </c:ext>
            </c:extLst>
          </c:dPt>
          <c:dPt>
            <c:idx val="847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69F-4632-F841-9FBE-C74FAD04231F}"/>
              </c:ext>
            </c:extLst>
          </c:dPt>
          <c:dPt>
            <c:idx val="848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6A1-4632-F841-9FBE-C74FAD04231F}"/>
              </c:ext>
            </c:extLst>
          </c:dPt>
          <c:dPt>
            <c:idx val="849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6A3-4632-F841-9FBE-C74FAD04231F}"/>
              </c:ext>
            </c:extLst>
          </c:dPt>
          <c:dPt>
            <c:idx val="850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6A5-4632-F841-9FBE-C74FAD04231F}"/>
              </c:ext>
            </c:extLst>
          </c:dPt>
          <c:dPt>
            <c:idx val="851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6A7-4632-F841-9FBE-C74FAD04231F}"/>
              </c:ext>
            </c:extLst>
          </c:dPt>
          <c:dPt>
            <c:idx val="852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6A9-4632-F841-9FBE-C74FAD04231F}"/>
              </c:ext>
            </c:extLst>
          </c:dPt>
          <c:dPt>
            <c:idx val="853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6AB-4632-F841-9FBE-C74FAD04231F}"/>
              </c:ext>
            </c:extLst>
          </c:dPt>
          <c:dPt>
            <c:idx val="854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6AD-4632-F841-9FBE-C74FAD04231F}"/>
              </c:ext>
            </c:extLst>
          </c:dPt>
          <c:dPt>
            <c:idx val="855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6AF-4632-F841-9FBE-C74FAD04231F}"/>
              </c:ext>
            </c:extLst>
          </c:dPt>
          <c:dPt>
            <c:idx val="856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6B1-4632-F841-9FBE-C74FAD04231F}"/>
              </c:ext>
            </c:extLst>
          </c:dPt>
          <c:dPt>
            <c:idx val="857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6B3-4632-F841-9FBE-C74FAD04231F}"/>
              </c:ext>
            </c:extLst>
          </c:dPt>
          <c:dPt>
            <c:idx val="858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6B5-4632-F841-9FBE-C74FAD04231F}"/>
              </c:ext>
            </c:extLst>
          </c:dPt>
          <c:dPt>
            <c:idx val="859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6B7-4632-F841-9FBE-C74FAD04231F}"/>
              </c:ext>
            </c:extLst>
          </c:dPt>
          <c:dPt>
            <c:idx val="860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6B9-4632-F841-9FBE-C74FAD04231F}"/>
              </c:ext>
            </c:extLst>
          </c:dPt>
          <c:dPt>
            <c:idx val="861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6BB-4632-F841-9FBE-C74FAD04231F}"/>
              </c:ext>
            </c:extLst>
          </c:dPt>
          <c:dPt>
            <c:idx val="862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6BD-4632-F841-9FBE-C74FAD04231F}"/>
              </c:ext>
            </c:extLst>
          </c:dPt>
          <c:dPt>
            <c:idx val="863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6BF-4632-F841-9FBE-C74FAD04231F}"/>
              </c:ext>
            </c:extLst>
          </c:dPt>
          <c:dPt>
            <c:idx val="864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6C1-4632-F841-9FBE-C74FAD04231F}"/>
              </c:ext>
            </c:extLst>
          </c:dPt>
          <c:dPt>
            <c:idx val="865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6C3-4632-F841-9FBE-C74FAD04231F}"/>
              </c:ext>
            </c:extLst>
          </c:dPt>
          <c:dPt>
            <c:idx val="866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6C5-4632-F841-9FBE-C74FAD04231F}"/>
              </c:ext>
            </c:extLst>
          </c:dPt>
          <c:dPt>
            <c:idx val="867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6C7-4632-F841-9FBE-C74FAD04231F}"/>
              </c:ext>
            </c:extLst>
          </c:dPt>
          <c:dPt>
            <c:idx val="868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6C9-4632-F841-9FBE-C74FAD04231F}"/>
              </c:ext>
            </c:extLst>
          </c:dPt>
          <c:dPt>
            <c:idx val="869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6CB-4632-F841-9FBE-C74FAD04231F}"/>
              </c:ext>
            </c:extLst>
          </c:dPt>
          <c:dPt>
            <c:idx val="870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6CD-4632-F841-9FBE-C74FAD04231F}"/>
              </c:ext>
            </c:extLst>
          </c:dPt>
          <c:dPt>
            <c:idx val="871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6CF-4632-F841-9FBE-C74FAD04231F}"/>
              </c:ext>
            </c:extLst>
          </c:dPt>
          <c:dPt>
            <c:idx val="872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6D1-4632-F841-9FBE-C74FAD04231F}"/>
              </c:ext>
            </c:extLst>
          </c:dPt>
          <c:dPt>
            <c:idx val="873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6D3-4632-F841-9FBE-C74FAD04231F}"/>
              </c:ext>
            </c:extLst>
          </c:dPt>
          <c:dPt>
            <c:idx val="874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6D5-4632-F841-9FBE-C74FAD04231F}"/>
              </c:ext>
            </c:extLst>
          </c:dPt>
          <c:dPt>
            <c:idx val="875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6D7-4632-F841-9FBE-C74FAD04231F}"/>
              </c:ext>
            </c:extLst>
          </c:dPt>
          <c:dPt>
            <c:idx val="876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6D9-4632-F841-9FBE-C74FAD04231F}"/>
              </c:ext>
            </c:extLst>
          </c:dPt>
          <c:dPt>
            <c:idx val="877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6DB-4632-F841-9FBE-C74FAD04231F}"/>
              </c:ext>
            </c:extLst>
          </c:dPt>
          <c:dPt>
            <c:idx val="878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6DD-4632-F841-9FBE-C74FAD04231F}"/>
              </c:ext>
            </c:extLst>
          </c:dPt>
          <c:dPt>
            <c:idx val="879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6DF-4632-F841-9FBE-C74FAD04231F}"/>
              </c:ext>
            </c:extLst>
          </c:dPt>
          <c:dPt>
            <c:idx val="880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6E1-4632-F841-9FBE-C74FAD04231F}"/>
              </c:ext>
            </c:extLst>
          </c:dPt>
          <c:dPt>
            <c:idx val="881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6E3-4632-F841-9FBE-C74FAD04231F}"/>
              </c:ext>
            </c:extLst>
          </c:dPt>
          <c:dPt>
            <c:idx val="882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6E5-4632-F841-9FBE-C74FAD04231F}"/>
              </c:ext>
            </c:extLst>
          </c:dPt>
          <c:dPt>
            <c:idx val="883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6E7-4632-F841-9FBE-C74FAD04231F}"/>
              </c:ext>
            </c:extLst>
          </c:dPt>
          <c:dPt>
            <c:idx val="884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6E9-4632-F841-9FBE-C74FAD04231F}"/>
              </c:ext>
            </c:extLst>
          </c:dPt>
          <c:dPt>
            <c:idx val="885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6EB-4632-F841-9FBE-C74FAD04231F}"/>
              </c:ext>
            </c:extLst>
          </c:dPt>
          <c:dPt>
            <c:idx val="886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6ED-4632-F841-9FBE-C74FAD04231F}"/>
              </c:ext>
            </c:extLst>
          </c:dPt>
          <c:dPt>
            <c:idx val="887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6EF-4632-F841-9FBE-C74FAD04231F}"/>
              </c:ext>
            </c:extLst>
          </c:dPt>
          <c:dPt>
            <c:idx val="888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6F1-4632-F841-9FBE-C74FAD04231F}"/>
              </c:ext>
            </c:extLst>
          </c:dPt>
          <c:dPt>
            <c:idx val="889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6F3-4632-F841-9FBE-C74FAD04231F}"/>
              </c:ext>
            </c:extLst>
          </c:dPt>
          <c:dPt>
            <c:idx val="890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6F5-4632-F841-9FBE-C74FAD04231F}"/>
              </c:ext>
            </c:extLst>
          </c:dPt>
          <c:dPt>
            <c:idx val="891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6F7-4632-F841-9FBE-C74FAD04231F}"/>
              </c:ext>
            </c:extLst>
          </c:dPt>
          <c:dPt>
            <c:idx val="892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6F9-4632-F841-9FBE-C74FAD04231F}"/>
              </c:ext>
            </c:extLst>
          </c:dPt>
          <c:dPt>
            <c:idx val="893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6FB-4632-F841-9FBE-C74FAD04231F}"/>
              </c:ext>
            </c:extLst>
          </c:dPt>
          <c:dPt>
            <c:idx val="894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6FD-4632-F841-9FBE-C74FAD04231F}"/>
              </c:ext>
            </c:extLst>
          </c:dPt>
          <c:dPt>
            <c:idx val="895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6FF-4632-F841-9FBE-C74FAD04231F}"/>
              </c:ext>
            </c:extLst>
          </c:dPt>
          <c:dPt>
            <c:idx val="896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701-4632-F841-9FBE-C74FAD04231F}"/>
              </c:ext>
            </c:extLst>
          </c:dPt>
          <c:dPt>
            <c:idx val="897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703-4632-F841-9FBE-C74FAD04231F}"/>
              </c:ext>
            </c:extLst>
          </c:dPt>
          <c:dPt>
            <c:idx val="898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705-4632-F841-9FBE-C74FAD04231F}"/>
              </c:ext>
            </c:extLst>
          </c:dPt>
          <c:dPt>
            <c:idx val="899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707-4632-F841-9FBE-C74FAD04231F}"/>
              </c:ext>
            </c:extLst>
          </c:dPt>
          <c:dPt>
            <c:idx val="900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709-4632-F841-9FBE-C74FAD04231F}"/>
              </c:ext>
            </c:extLst>
          </c:dPt>
          <c:dPt>
            <c:idx val="901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70B-4632-F841-9FBE-C74FAD04231F}"/>
              </c:ext>
            </c:extLst>
          </c:dPt>
          <c:dPt>
            <c:idx val="902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70D-4632-F841-9FBE-C74FAD04231F}"/>
              </c:ext>
            </c:extLst>
          </c:dPt>
          <c:dPt>
            <c:idx val="903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70F-4632-F841-9FBE-C74FAD04231F}"/>
              </c:ext>
            </c:extLst>
          </c:dPt>
          <c:dPt>
            <c:idx val="904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711-4632-F841-9FBE-C74FAD04231F}"/>
              </c:ext>
            </c:extLst>
          </c:dPt>
          <c:dPt>
            <c:idx val="905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713-4632-F841-9FBE-C74FAD04231F}"/>
              </c:ext>
            </c:extLst>
          </c:dPt>
          <c:dPt>
            <c:idx val="906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715-4632-F841-9FBE-C74FAD04231F}"/>
              </c:ext>
            </c:extLst>
          </c:dPt>
          <c:dPt>
            <c:idx val="907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717-4632-F841-9FBE-C74FAD04231F}"/>
              </c:ext>
            </c:extLst>
          </c:dPt>
          <c:dPt>
            <c:idx val="908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719-4632-F841-9FBE-C74FAD04231F}"/>
              </c:ext>
            </c:extLst>
          </c:dPt>
          <c:dPt>
            <c:idx val="909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71B-4632-F841-9FBE-C74FAD04231F}"/>
              </c:ext>
            </c:extLst>
          </c:dPt>
          <c:dPt>
            <c:idx val="910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71D-4632-F841-9FBE-C74FAD04231F}"/>
              </c:ext>
            </c:extLst>
          </c:dPt>
          <c:dPt>
            <c:idx val="911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71F-4632-F841-9FBE-C74FAD04231F}"/>
              </c:ext>
            </c:extLst>
          </c:dPt>
          <c:dPt>
            <c:idx val="912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721-4632-F841-9FBE-C74FAD04231F}"/>
              </c:ext>
            </c:extLst>
          </c:dPt>
          <c:dPt>
            <c:idx val="913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723-4632-F841-9FBE-C74FAD04231F}"/>
              </c:ext>
            </c:extLst>
          </c:dPt>
          <c:dPt>
            <c:idx val="914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725-4632-F841-9FBE-C74FAD04231F}"/>
              </c:ext>
            </c:extLst>
          </c:dPt>
          <c:dPt>
            <c:idx val="915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727-4632-F841-9FBE-C74FAD04231F}"/>
              </c:ext>
            </c:extLst>
          </c:dPt>
          <c:dPt>
            <c:idx val="916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729-4632-F841-9FBE-C74FAD04231F}"/>
              </c:ext>
            </c:extLst>
          </c:dPt>
          <c:dPt>
            <c:idx val="917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72B-4632-F841-9FBE-C74FAD04231F}"/>
              </c:ext>
            </c:extLst>
          </c:dPt>
          <c:dPt>
            <c:idx val="918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72D-4632-F841-9FBE-C74FAD04231F}"/>
              </c:ext>
            </c:extLst>
          </c:dPt>
          <c:dPt>
            <c:idx val="919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72F-4632-F841-9FBE-C74FAD04231F}"/>
              </c:ext>
            </c:extLst>
          </c:dPt>
          <c:dPt>
            <c:idx val="920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731-4632-F841-9FBE-C74FAD04231F}"/>
              </c:ext>
            </c:extLst>
          </c:dPt>
          <c:dPt>
            <c:idx val="921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733-4632-F841-9FBE-C74FAD04231F}"/>
              </c:ext>
            </c:extLst>
          </c:dPt>
          <c:dPt>
            <c:idx val="922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735-4632-F841-9FBE-C74FAD04231F}"/>
              </c:ext>
            </c:extLst>
          </c:dPt>
          <c:dPt>
            <c:idx val="923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737-4632-F841-9FBE-C74FAD04231F}"/>
              </c:ext>
            </c:extLst>
          </c:dPt>
          <c:dPt>
            <c:idx val="924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739-4632-F841-9FBE-C74FAD04231F}"/>
              </c:ext>
            </c:extLst>
          </c:dPt>
          <c:dPt>
            <c:idx val="925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73B-4632-F841-9FBE-C74FAD04231F}"/>
              </c:ext>
            </c:extLst>
          </c:dPt>
          <c:dPt>
            <c:idx val="926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73D-4632-F841-9FBE-C74FAD04231F}"/>
              </c:ext>
            </c:extLst>
          </c:dPt>
          <c:dPt>
            <c:idx val="927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73F-4632-F841-9FBE-C74FAD04231F}"/>
              </c:ext>
            </c:extLst>
          </c:dPt>
          <c:dPt>
            <c:idx val="928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741-4632-F841-9FBE-C74FAD04231F}"/>
              </c:ext>
            </c:extLst>
          </c:dPt>
          <c:dPt>
            <c:idx val="929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743-4632-F841-9FBE-C74FAD04231F}"/>
              </c:ext>
            </c:extLst>
          </c:dPt>
          <c:dPt>
            <c:idx val="930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745-4632-F841-9FBE-C74FAD04231F}"/>
              </c:ext>
            </c:extLst>
          </c:dPt>
          <c:dPt>
            <c:idx val="931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747-4632-F841-9FBE-C74FAD04231F}"/>
              </c:ext>
            </c:extLst>
          </c:dPt>
          <c:dPt>
            <c:idx val="932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749-4632-F841-9FBE-C74FAD04231F}"/>
              </c:ext>
            </c:extLst>
          </c:dPt>
          <c:dPt>
            <c:idx val="933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74B-4632-F841-9FBE-C74FAD04231F}"/>
              </c:ext>
            </c:extLst>
          </c:dPt>
          <c:dPt>
            <c:idx val="934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74D-4632-F841-9FBE-C74FAD04231F}"/>
              </c:ext>
            </c:extLst>
          </c:dPt>
          <c:dPt>
            <c:idx val="935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74F-4632-F841-9FBE-C74FAD04231F}"/>
              </c:ext>
            </c:extLst>
          </c:dPt>
          <c:dPt>
            <c:idx val="936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751-4632-F841-9FBE-C74FAD04231F}"/>
              </c:ext>
            </c:extLst>
          </c:dPt>
          <c:dPt>
            <c:idx val="937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753-4632-F841-9FBE-C74FAD04231F}"/>
              </c:ext>
            </c:extLst>
          </c:dPt>
          <c:dPt>
            <c:idx val="938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755-4632-F841-9FBE-C74FAD04231F}"/>
              </c:ext>
            </c:extLst>
          </c:dPt>
          <c:dPt>
            <c:idx val="939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757-4632-F841-9FBE-C74FAD04231F}"/>
              </c:ext>
            </c:extLst>
          </c:dPt>
          <c:dPt>
            <c:idx val="940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759-4632-F841-9FBE-C74FAD04231F}"/>
              </c:ext>
            </c:extLst>
          </c:dPt>
          <c:dPt>
            <c:idx val="941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75B-4632-F841-9FBE-C74FAD04231F}"/>
              </c:ext>
            </c:extLst>
          </c:dPt>
          <c:dPt>
            <c:idx val="942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75D-4632-F841-9FBE-C74FAD04231F}"/>
              </c:ext>
            </c:extLst>
          </c:dPt>
          <c:dPt>
            <c:idx val="943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75F-4632-F841-9FBE-C74FAD04231F}"/>
              </c:ext>
            </c:extLst>
          </c:dPt>
          <c:dPt>
            <c:idx val="944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761-4632-F841-9FBE-C74FAD04231F}"/>
              </c:ext>
            </c:extLst>
          </c:dPt>
          <c:dPt>
            <c:idx val="945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763-4632-F841-9FBE-C74FAD04231F}"/>
              </c:ext>
            </c:extLst>
          </c:dPt>
          <c:dPt>
            <c:idx val="946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765-4632-F841-9FBE-C74FAD04231F}"/>
              </c:ext>
            </c:extLst>
          </c:dPt>
          <c:dPt>
            <c:idx val="947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767-4632-F841-9FBE-C74FAD04231F}"/>
              </c:ext>
            </c:extLst>
          </c:dPt>
          <c:dPt>
            <c:idx val="948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769-4632-F841-9FBE-C74FAD04231F}"/>
              </c:ext>
            </c:extLst>
          </c:dPt>
          <c:dPt>
            <c:idx val="949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76B-4632-F841-9FBE-C74FAD04231F}"/>
              </c:ext>
            </c:extLst>
          </c:dPt>
          <c:dPt>
            <c:idx val="950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76D-4632-F841-9FBE-C74FAD04231F}"/>
              </c:ext>
            </c:extLst>
          </c:dPt>
          <c:dPt>
            <c:idx val="951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76F-4632-F841-9FBE-C74FAD04231F}"/>
              </c:ext>
            </c:extLst>
          </c:dPt>
          <c:dPt>
            <c:idx val="952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771-4632-F841-9FBE-C74FAD04231F}"/>
              </c:ext>
            </c:extLst>
          </c:dPt>
          <c:dPt>
            <c:idx val="953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773-4632-F841-9FBE-C74FAD04231F}"/>
              </c:ext>
            </c:extLst>
          </c:dPt>
          <c:dPt>
            <c:idx val="954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775-4632-F841-9FBE-C74FAD04231F}"/>
              </c:ext>
            </c:extLst>
          </c:dPt>
          <c:dPt>
            <c:idx val="955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777-4632-F841-9FBE-C74FAD04231F}"/>
              </c:ext>
            </c:extLst>
          </c:dPt>
          <c:dPt>
            <c:idx val="956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779-4632-F841-9FBE-C74FAD04231F}"/>
              </c:ext>
            </c:extLst>
          </c:dPt>
          <c:dPt>
            <c:idx val="957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77B-4632-F841-9FBE-C74FAD04231F}"/>
              </c:ext>
            </c:extLst>
          </c:dPt>
          <c:dPt>
            <c:idx val="958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77D-4632-F841-9FBE-C74FAD04231F}"/>
              </c:ext>
            </c:extLst>
          </c:dPt>
          <c:dPt>
            <c:idx val="959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77F-4632-F841-9FBE-C74FAD04231F}"/>
              </c:ext>
            </c:extLst>
          </c:dPt>
          <c:dPt>
            <c:idx val="960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781-4632-F841-9FBE-C74FAD04231F}"/>
              </c:ext>
            </c:extLst>
          </c:dPt>
          <c:dPt>
            <c:idx val="961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783-4632-F841-9FBE-C74FAD04231F}"/>
              </c:ext>
            </c:extLst>
          </c:dPt>
          <c:dPt>
            <c:idx val="962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785-4632-F841-9FBE-C74FAD04231F}"/>
              </c:ext>
            </c:extLst>
          </c:dPt>
          <c:dPt>
            <c:idx val="963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787-4632-F841-9FBE-C74FAD04231F}"/>
              </c:ext>
            </c:extLst>
          </c:dPt>
          <c:dPt>
            <c:idx val="964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789-4632-F841-9FBE-C74FAD04231F}"/>
              </c:ext>
            </c:extLst>
          </c:dPt>
          <c:dPt>
            <c:idx val="965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78B-4632-F841-9FBE-C74FAD04231F}"/>
              </c:ext>
            </c:extLst>
          </c:dPt>
          <c:dPt>
            <c:idx val="966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78D-4632-F841-9FBE-C74FAD04231F}"/>
              </c:ext>
            </c:extLst>
          </c:dPt>
          <c:dPt>
            <c:idx val="967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78F-4632-F841-9FBE-C74FAD04231F}"/>
              </c:ext>
            </c:extLst>
          </c:dPt>
          <c:dPt>
            <c:idx val="968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791-4632-F841-9FBE-C74FAD04231F}"/>
              </c:ext>
            </c:extLst>
          </c:dPt>
          <c:dPt>
            <c:idx val="969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793-4632-F841-9FBE-C74FAD04231F}"/>
              </c:ext>
            </c:extLst>
          </c:dPt>
          <c:dPt>
            <c:idx val="970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795-4632-F841-9FBE-C74FAD04231F}"/>
              </c:ext>
            </c:extLst>
          </c:dPt>
          <c:dPt>
            <c:idx val="971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797-4632-F841-9FBE-C74FAD04231F}"/>
              </c:ext>
            </c:extLst>
          </c:dPt>
          <c:dPt>
            <c:idx val="972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799-4632-F841-9FBE-C74FAD04231F}"/>
              </c:ext>
            </c:extLst>
          </c:dPt>
          <c:dPt>
            <c:idx val="973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79B-4632-F841-9FBE-C74FAD04231F}"/>
              </c:ext>
            </c:extLst>
          </c:dPt>
          <c:dPt>
            <c:idx val="974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79D-4632-F841-9FBE-C74FAD04231F}"/>
              </c:ext>
            </c:extLst>
          </c:dPt>
          <c:dPt>
            <c:idx val="975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79F-4632-F841-9FBE-C74FAD04231F}"/>
              </c:ext>
            </c:extLst>
          </c:dPt>
          <c:dPt>
            <c:idx val="976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7A1-4632-F841-9FBE-C74FAD04231F}"/>
              </c:ext>
            </c:extLst>
          </c:dPt>
          <c:dPt>
            <c:idx val="977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7A3-4632-F841-9FBE-C74FAD04231F}"/>
              </c:ext>
            </c:extLst>
          </c:dPt>
          <c:dPt>
            <c:idx val="978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7A5-4632-F841-9FBE-C74FAD04231F}"/>
              </c:ext>
            </c:extLst>
          </c:dPt>
          <c:dPt>
            <c:idx val="979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7A7-4632-F841-9FBE-C74FAD04231F}"/>
              </c:ext>
            </c:extLst>
          </c:dPt>
          <c:dPt>
            <c:idx val="980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7A9-4632-F841-9FBE-C74FAD04231F}"/>
              </c:ext>
            </c:extLst>
          </c:dPt>
          <c:dPt>
            <c:idx val="981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7AB-4632-F841-9FBE-C74FAD04231F}"/>
              </c:ext>
            </c:extLst>
          </c:dPt>
          <c:dPt>
            <c:idx val="982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7AD-4632-F841-9FBE-C74FAD04231F}"/>
              </c:ext>
            </c:extLst>
          </c:dPt>
          <c:dPt>
            <c:idx val="983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7AF-4632-F841-9FBE-C74FAD04231F}"/>
              </c:ext>
            </c:extLst>
          </c:dPt>
          <c:dPt>
            <c:idx val="984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7B1-4632-F841-9FBE-C74FAD04231F}"/>
              </c:ext>
            </c:extLst>
          </c:dPt>
          <c:dPt>
            <c:idx val="985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7B3-4632-F841-9FBE-C74FAD04231F}"/>
              </c:ext>
            </c:extLst>
          </c:dPt>
          <c:dPt>
            <c:idx val="986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7B5-4632-F841-9FBE-C74FAD04231F}"/>
              </c:ext>
            </c:extLst>
          </c:dPt>
          <c:dPt>
            <c:idx val="987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7B7-4632-F841-9FBE-C74FAD04231F}"/>
              </c:ext>
            </c:extLst>
          </c:dPt>
          <c:dPt>
            <c:idx val="988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7B9-4632-F841-9FBE-C74FAD04231F}"/>
              </c:ext>
            </c:extLst>
          </c:dPt>
          <c:dPt>
            <c:idx val="989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7BB-4632-F841-9FBE-C74FAD04231F}"/>
              </c:ext>
            </c:extLst>
          </c:dPt>
          <c:dPt>
            <c:idx val="990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7BD-4632-F841-9FBE-C74FAD04231F}"/>
              </c:ext>
            </c:extLst>
          </c:dPt>
          <c:dPt>
            <c:idx val="991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7BF-4632-F841-9FBE-C74FAD04231F}"/>
              </c:ext>
            </c:extLst>
          </c:dPt>
          <c:dPt>
            <c:idx val="992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7C1-4632-F841-9FBE-C74FAD04231F}"/>
              </c:ext>
            </c:extLst>
          </c:dPt>
          <c:dPt>
            <c:idx val="993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7C3-4632-F841-9FBE-C74FAD04231F}"/>
              </c:ext>
            </c:extLst>
          </c:dPt>
          <c:dPt>
            <c:idx val="994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7C5-4632-F841-9FBE-C74FAD04231F}"/>
              </c:ext>
            </c:extLst>
          </c:dPt>
          <c:dPt>
            <c:idx val="995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7C7-4632-F841-9FBE-C74FAD04231F}"/>
              </c:ext>
            </c:extLst>
          </c:dPt>
          <c:dPt>
            <c:idx val="996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7C9-4632-F841-9FBE-C74FAD04231F}"/>
              </c:ext>
            </c:extLst>
          </c:dPt>
          <c:dPt>
            <c:idx val="997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7CB-4632-F841-9FBE-C74FAD04231F}"/>
              </c:ext>
            </c:extLst>
          </c:dPt>
          <c:dPt>
            <c:idx val="998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7CD-4632-F841-9FBE-C74FAD04231F}"/>
              </c:ext>
            </c:extLst>
          </c:dPt>
          <c:dPt>
            <c:idx val="999"/>
            <c:marker>
              <c:spPr>
                <a:solidFill>
                  <a:schemeClr val="accent1">
                    <a:alpha val="47864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7CF-4632-F841-9FBE-C74FAD04231F}"/>
              </c:ext>
            </c:extLst>
          </c:dPt>
          <c:xVal>
            <c:numRef>
              <c:f>'Crowdfunding with calc columns'!$P$2:$P$1001</c:f>
              <c:numCache>
                <c:formatCode>0</c:formatCode>
                <c:ptCount val="1000"/>
                <c:pt idx="0">
                  <c:v>18</c:v>
                </c:pt>
                <c:pt idx="1">
                  <c:v>3</c:v>
                </c:pt>
                <c:pt idx="2">
                  <c:v>3</c:v>
                </c:pt>
                <c:pt idx="3">
                  <c:v>41</c:v>
                </c:pt>
                <c:pt idx="4">
                  <c:v>5</c:v>
                </c:pt>
                <c:pt idx="5">
                  <c:v>12</c:v>
                </c:pt>
                <c:pt idx="6">
                  <c:v>2</c:v>
                </c:pt>
                <c:pt idx="7">
                  <c:v>3</c:v>
                </c:pt>
                <c:pt idx="8">
                  <c:v>3</c:v>
                </c:pt>
                <c:pt idx="9">
                  <c:v>50</c:v>
                </c:pt>
                <c:pt idx="10">
                  <c:v>49</c:v>
                </c:pt>
                <c:pt idx="11">
                  <c:v>7</c:v>
                </c:pt>
                <c:pt idx="12">
                  <c:v>9</c:v>
                </c:pt>
                <c:pt idx="13">
                  <c:v>13</c:v>
                </c:pt>
                <c:pt idx="14">
                  <c:v>28</c:v>
                </c:pt>
                <c:pt idx="15">
                  <c:v>5</c:v>
                </c:pt>
                <c:pt idx="16">
                  <c:v>23</c:v>
                </c:pt>
                <c:pt idx="17">
                  <c:v>2</c:v>
                </c:pt>
                <c:pt idx="18">
                  <c:v>9</c:v>
                </c:pt>
                <c:pt idx="19">
                  <c:v>22</c:v>
                </c:pt>
                <c:pt idx="20">
                  <c:v>1</c:v>
                </c:pt>
                <c:pt idx="21">
                  <c:v>35</c:v>
                </c:pt>
                <c:pt idx="22">
                  <c:v>16</c:v>
                </c:pt>
                <c:pt idx="23">
                  <c:v>54</c:v>
                </c:pt>
                <c:pt idx="24">
                  <c:v>3</c:v>
                </c:pt>
                <c:pt idx="25">
                  <c:v>21</c:v>
                </c:pt>
                <c:pt idx="26">
                  <c:v>28</c:v>
                </c:pt>
                <c:pt idx="27">
                  <c:v>9</c:v>
                </c:pt>
                <c:pt idx="28">
                  <c:v>24</c:v>
                </c:pt>
                <c:pt idx="29">
                  <c:v>41</c:v>
                </c:pt>
                <c:pt idx="30">
                  <c:v>6</c:v>
                </c:pt>
                <c:pt idx="31">
                  <c:v>29</c:v>
                </c:pt>
                <c:pt idx="32">
                  <c:v>28</c:v>
                </c:pt>
                <c:pt idx="33">
                  <c:v>38</c:v>
                </c:pt>
                <c:pt idx="34">
                  <c:v>6</c:v>
                </c:pt>
                <c:pt idx="35">
                  <c:v>43</c:v>
                </c:pt>
                <c:pt idx="36">
                  <c:v>26</c:v>
                </c:pt>
                <c:pt idx="37">
                  <c:v>34</c:v>
                </c:pt>
                <c:pt idx="38">
                  <c:v>6</c:v>
                </c:pt>
                <c:pt idx="39">
                  <c:v>15</c:v>
                </c:pt>
                <c:pt idx="40">
                  <c:v>20</c:v>
                </c:pt>
                <c:pt idx="41">
                  <c:v>27</c:v>
                </c:pt>
                <c:pt idx="42">
                  <c:v>10</c:v>
                </c:pt>
                <c:pt idx="43">
                  <c:v>17</c:v>
                </c:pt>
                <c:pt idx="44">
                  <c:v>2</c:v>
                </c:pt>
                <c:pt idx="45">
                  <c:v>16</c:v>
                </c:pt>
                <c:pt idx="46">
                  <c:v>24</c:v>
                </c:pt>
                <c:pt idx="47">
                  <c:v>31</c:v>
                </c:pt>
                <c:pt idx="48">
                  <c:v>13</c:v>
                </c:pt>
                <c:pt idx="49">
                  <c:v>46</c:v>
                </c:pt>
                <c:pt idx="50">
                  <c:v>29</c:v>
                </c:pt>
                <c:pt idx="51">
                  <c:v>17</c:v>
                </c:pt>
                <c:pt idx="52">
                  <c:v>5</c:v>
                </c:pt>
                <c:pt idx="53">
                  <c:v>40</c:v>
                </c:pt>
                <c:pt idx="54">
                  <c:v>7</c:v>
                </c:pt>
                <c:pt idx="55">
                  <c:v>6</c:v>
                </c:pt>
                <c:pt idx="56">
                  <c:v>8</c:v>
                </c:pt>
                <c:pt idx="57">
                  <c:v>13</c:v>
                </c:pt>
                <c:pt idx="58">
                  <c:v>14</c:v>
                </c:pt>
                <c:pt idx="59">
                  <c:v>16</c:v>
                </c:pt>
                <c:pt idx="60">
                  <c:v>4</c:v>
                </c:pt>
                <c:pt idx="61">
                  <c:v>41</c:v>
                </c:pt>
                <c:pt idx="62">
                  <c:v>2</c:v>
                </c:pt>
                <c:pt idx="63">
                  <c:v>7</c:v>
                </c:pt>
                <c:pt idx="64">
                  <c:v>16</c:v>
                </c:pt>
                <c:pt idx="65">
                  <c:v>8</c:v>
                </c:pt>
                <c:pt idx="66">
                  <c:v>6</c:v>
                </c:pt>
                <c:pt idx="67">
                  <c:v>6</c:v>
                </c:pt>
                <c:pt idx="68">
                  <c:v>48</c:v>
                </c:pt>
                <c:pt idx="69">
                  <c:v>35</c:v>
                </c:pt>
                <c:pt idx="70">
                  <c:v>50</c:v>
                </c:pt>
                <c:pt idx="71">
                  <c:v>5</c:v>
                </c:pt>
                <c:pt idx="72">
                  <c:v>37</c:v>
                </c:pt>
                <c:pt idx="73">
                  <c:v>4</c:v>
                </c:pt>
                <c:pt idx="74">
                  <c:v>2</c:v>
                </c:pt>
                <c:pt idx="75">
                  <c:v>9</c:v>
                </c:pt>
                <c:pt idx="76">
                  <c:v>50</c:v>
                </c:pt>
                <c:pt idx="77">
                  <c:v>15</c:v>
                </c:pt>
                <c:pt idx="78">
                  <c:v>2</c:v>
                </c:pt>
                <c:pt idx="79">
                  <c:v>6</c:v>
                </c:pt>
                <c:pt idx="80">
                  <c:v>31</c:v>
                </c:pt>
                <c:pt idx="81">
                  <c:v>26</c:v>
                </c:pt>
                <c:pt idx="82">
                  <c:v>8</c:v>
                </c:pt>
                <c:pt idx="83">
                  <c:v>23</c:v>
                </c:pt>
                <c:pt idx="84">
                  <c:v>11</c:v>
                </c:pt>
                <c:pt idx="85">
                  <c:v>9</c:v>
                </c:pt>
                <c:pt idx="86">
                  <c:v>14</c:v>
                </c:pt>
                <c:pt idx="87">
                  <c:v>12</c:v>
                </c:pt>
                <c:pt idx="88">
                  <c:v>23</c:v>
                </c:pt>
                <c:pt idx="89">
                  <c:v>3</c:v>
                </c:pt>
                <c:pt idx="90">
                  <c:v>1</c:v>
                </c:pt>
                <c:pt idx="91">
                  <c:v>29</c:v>
                </c:pt>
                <c:pt idx="92">
                  <c:v>2</c:v>
                </c:pt>
                <c:pt idx="93">
                  <c:v>5</c:v>
                </c:pt>
                <c:pt idx="94">
                  <c:v>12</c:v>
                </c:pt>
                <c:pt idx="95">
                  <c:v>8</c:v>
                </c:pt>
                <c:pt idx="96">
                  <c:v>14</c:v>
                </c:pt>
                <c:pt idx="97">
                  <c:v>55</c:v>
                </c:pt>
                <c:pt idx="98">
                  <c:v>5</c:v>
                </c:pt>
                <c:pt idx="99">
                  <c:v>30</c:v>
                </c:pt>
                <c:pt idx="100">
                  <c:v>19</c:v>
                </c:pt>
                <c:pt idx="101">
                  <c:v>8</c:v>
                </c:pt>
                <c:pt idx="102">
                  <c:v>8</c:v>
                </c:pt>
                <c:pt idx="103">
                  <c:v>10</c:v>
                </c:pt>
                <c:pt idx="104">
                  <c:v>2</c:v>
                </c:pt>
                <c:pt idx="105">
                  <c:v>19</c:v>
                </c:pt>
                <c:pt idx="106">
                  <c:v>6</c:v>
                </c:pt>
                <c:pt idx="107">
                  <c:v>18</c:v>
                </c:pt>
                <c:pt idx="108">
                  <c:v>38</c:v>
                </c:pt>
                <c:pt idx="109">
                  <c:v>3</c:v>
                </c:pt>
                <c:pt idx="110">
                  <c:v>20</c:v>
                </c:pt>
                <c:pt idx="111">
                  <c:v>7</c:v>
                </c:pt>
                <c:pt idx="112">
                  <c:v>16</c:v>
                </c:pt>
                <c:pt idx="113">
                  <c:v>8</c:v>
                </c:pt>
                <c:pt idx="114">
                  <c:v>2</c:v>
                </c:pt>
                <c:pt idx="115">
                  <c:v>36</c:v>
                </c:pt>
                <c:pt idx="116">
                  <c:v>2</c:v>
                </c:pt>
                <c:pt idx="117">
                  <c:v>7</c:v>
                </c:pt>
                <c:pt idx="118">
                  <c:v>7</c:v>
                </c:pt>
                <c:pt idx="119">
                  <c:v>18</c:v>
                </c:pt>
                <c:pt idx="120">
                  <c:v>5</c:v>
                </c:pt>
                <c:pt idx="121">
                  <c:v>14</c:v>
                </c:pt>
                <c:pt idx="122">
                  <c:v>28</c:v>
                </c:pt>
                <c:pt idx="123">
                  <c:v>4</c:v>
                </c:pt>
                <c:pt idx="124">
                  <c:v>54</c:v>
                </c:pt>
                <c:pt idx="125">
                  <c:v>5</c:v>
                </c:pt>
                <c:pt idx="126">
                  <c:v>29</c:v>
                </c:pt>
                <c:pt idx="127">
                  <c:v>4</c:v>
                </c:pt>
                <c:pt idx="128">
                  <c:v>14</c:v>
                </c:pt>
                <c:pt idx="129">
                  <c:v>26</c:v>
                </c:pt>
                <c:pt idx="130">
                  <c:v>17</c:v>
                </c:pt>
                <c:pt idx="131">
                  <c:v>14</c:v>
                </c:pt>
                <c:pt idx="132">
                  <c:v>17</c:v>
                </c:pt>
                <c:pt idx="133">
                  <c:v>23</c:v>
                </c:pt>
                <c:pt idx="134">
                  <c:v>50</c:v>
                </c:pt>
                <c:pt idx="135">
                  <c:v>6</c:v>
                </c:pt>
                <c:pt idx="136">
                  <c:v>13</c:v>
                </c:pt>
                <c:pt idx="137">
                  <c:v>7</c:v>
                </c:pt>
                <c:pt idx="138">
                  <c:v>7</c:v>
                </c:pt>
                <c:pt idx="139">
                  <c:v>17</c:v>
                </c:pt>
                <c:pt idx="140">
                  <c:v>6</c:v>
                </c:pt>
                <c:pt idx="141">
                  <c:v>7</c:v>
                </c:pt>
                <c:pt idx="142">
                  <c:v>42</c:v>
                </c:pt>
                <c:pt idx="143">
                  <c:v>21</c:v>
                </c:pt>
                <c:pt idx="144">
                  <c:v>9</c:v>
                </c:pt>
                <c:pt idx="145">
                  <c:v>6</c:v>
                </c:pt>
                <c:pt idx="146">
                  <c:v>21</c:v>
                </c:pt>
                <c:pt idx="147">
                  <c:v>7</c:v>
                </c:pt>
                <c:pt idx="148">
                  <c:v>10</c:v>
                </c:pt>
                <c:pt idx="149">
                  <c:v>53</c:v>
                </c:pt>
                <c:pt idx="150">
                  <c:v>2</c:v>
                </c:pt>
                <c:pt idx="151">
                  <c:v>52</c:v>
                </c:pt>
                <c:pt idx="152">
                  <c:v>8</c:v>
                </c:pt>
                <c:pt idx="153">
                  <c:v>7</c:v>
                </c:pt>
                <c:pt idx="154">
                  <c:v>24</c:v>
                </c:pt>
                <c:pt idx="155">
                  <c:v>16</c:v>
                </c:pt>
                <c:pt idx="156">
                  <c:v>25</c:v>
                </c:pt>
                <c:pt idx="157">
                  <c:v>13</c:v>
                </c:pt>
                <c:pt idx="158">
                  <c:v>2</c:v>
                </c:pt>
                <c:pt idx="159">
                  <c:v>19</c:v>
                </c:pt>
                <c:pt idx="160">
                  <c:v>17</c:v>
                </c:pt>
                <c:pt idx="161">
                  <c:v>7</c:v>
                </c:pt>
                <c:pt idx="162">
                  <c:v>31</c:v>
                </c:pt>
                <c:pt idx="163">
                  <c:v>50</c:v>
                </c:pt>
                <c:pt idx="164">
                  <c:v>2</c:v>
                </c:pt>
                <c:pt idx="165">
                  <c:v>33</c:v>
                </c:pt>
                <c:pt idx="166">
                  <c:v>5</c:v>
                </c:pt>
                <c:pt idx="167">
                  <c:v>11</c:v>
                </c:pt>
                <c:pt idx="168">
                  <c:v>24</c:v>
                </c:pt>
                <c:pt idx="169">
                  <c:v>29</c:v>
                </c:pt>
                <c:pt idx="170">
                  <c:v>8</c:v>
                </c:pt>
                <c:pt idx="171">
                  <c:v>23</c:v>
                </c:pt>
                <c:pt idx="172">
                  <c:v>16</c:v>
                </c:pt>
                <c:pt idx="173">
                  <c:v>7</c:v>
                </c:pt>
                <c:pt idx="174">
                  <c:v>2</c:v>
                </c:pt>
                <c:pt idx="175">
                  <c:v>20</c:v>
                </c:pt>
                <c:pt idx="176">
                  <c:v>10</c:v>
                </c:pt>
                <c:pt idx="177">
                  <c:v>26</c:v>
                </c:pt>
                <c:pt idx="178">
                  <c:v>10</c:v>
                </c:pt>
                <c:pt idx="179">
                  <c:v>2</c:v>
                </c:pt>
                <c:pt idx="180">
                  <c:v>6</c:v>
                </c:pt>
                <c:pt idx="181">
                  <c:v>19</c:v>
                </c:pt>
                <c:pt idx="182">
                  <c:v>17</c:v>
                </c:pt>
                <c:pt idx="183">
                  <c:v>14</c:v>
                </c:pt>
                <c:pt idx="184">
                  <c:v>2</c:v>
                </c:pt>
                <c:pt idx="185">
                  <c:v>12</c:v>
                </c:pt>
                <c:pt idx="186">
                  <c:v>16</c:v>
                </c:pt>
                <c:pt idx="187">
                  <c:v>29</c:v>
                </c:pt>
                <c:pt idx="188">
                  <c:v>2</c:v>
                </c:pt>
                <c:pt idx="189">
                  <c:v>1</c:v>
                </c:pt>
                <c:pt idx="190">
                  <c:v>2</c:v>
                </c:pt>
                <c:pt idx="191">
                  <c:v>4</c:v>
                </c:pt>
                <c:pt idx="192">
                  <c:v>5</c:v>
                </c:pt>
                <c:pt idx="193">
                  <c:v>5</c:v>
                </c:pt>
                <c:pt idx="194">
                  <c:v>17</c:v>
                </c:pt>
                <c:pt idx="195">
                  <c:v>8</c:v>
                </c:pt>
                <c:pt idx="196">
                  <c:v>20</c:v>
                </c:pt>
                <c:pt idx="197">
                  <c:v>15</c:v>
                </c:pt>
                <c:pt idx="198">
                  <c:v>30</c:v>
                </c:pt>
                <c:pt idx="199">
                  <c:v>5</c:v>
                </c:pt>
                <c:pt idx="200">
                  <c:v>12</c:v>
                </c:pt>
                <c:pt idx="201">
                  <c:v>19</c:v>
                </c:pt>
                <c:pt idx="202">
                  <c:v>5</c:v>
                </c:pt>
                <c:pt idx="203">
                  <c:v>3</c:v>
                </c:pt>
                <c:pt idx="204">
                  <c:v>11</c:v>
                </c:pt>
                <c:pt idx="205">
                  <c:v>13</c:v>
                </c:pt>
                <c:pt idx="206">
                  <c:v>10</c:v>
                </c:pt>
                <c:pt idx="207">
                  <c:v>21</c:v>
                </c:pt>
                <c:pt idx="208">
                  <c:v>25</c:v>
                </c:pt>
                <c:pt idx="209">
                  <c:v>8</c:v>
                </c:pt>
                <c:pt idx="210">
                  <c:v>28</c:v>
                </c:pt>
                <c:pt idx="211">
                  <c:v>25</c:v>
                </c:pt>
                <c:pt idx="212">
                  <c:v>47</c:v>
                </c:pt>
                <c:pt idx="213">
                  <c:v>9</c:v>
                </c:pt>
                <c:pt idx="214">
                  <c:v>7</c:v>
                </c:pt>
                <c:pt idx="215">
                  <c:v>3</c:v>
                </c:pt>
                <c:pt idx="216">
                  <c:v>3</c:v>
                </c:pt>
                <c:pt idx="217">
                  <c:v>10</c:v>
                </c:pt>
                <c:pt idx="218">
                  <c:v>35</c:v>
                </c:pt>
                <c:pt idx="219">
                  <c:v>13</c:v>
                </c:pt>
                <c:pt idx="220">
                  <c:v>19</c:v>
                </c:pt>
                <c:pt idx="221">
                  <c:v>3</c:v>
                </c:pt>
                <c:pt idx="222">
                  <c:v>2</c:v>
                </c:pt>
                <c:pt idx="223">
                  <c:v>15</c:v>
                </c:pt>
                <c:pt idx="224">
                  <c:v>46</c:v>
                </c:pt>
                <c:pt idx="225">
                  <c:v>1</c:v>
                </c:pt>
                <c:pt idx="226">
                  <c:v>38</c:v>
                </c:pt>
                <c:pt idx="227">
                  <c:v>7</c:v>
                </c:pt>
                <c:pt idx="228">
                  <c:v>26</c:v>
                </c:pt>
                <c:pt idx="229">
                  <c:v>49</c:v>
                </c:pt>
                <c:pt idx="230">
                  <c:v>1</c:v>
                </c:pt>
                <c:pt idx="231">
                  <c:v>59</c:v>
                </c:pt>
                <c:pt idx="232">
                  <c:v>2</c:v>
                </c:pt>
                <c:pt idx="233">
                  <c:v>17</c:v>
                </c:pt>
                <c:pt idx="234">
                  <c:v>8</c:v>
                </c:pt>
                <c:pt idx="235">
                  <c:v>6</c:v>
                </c:pt>
                <c:pt idx="236">
                  <c:v>8</c:v>
                </c:pt>
                <c:pt idx="237">
                  <c:v>3</c:v>
                </c:pt>
                <c:pt idx="238">
                  <c:v>26</c:v>
                </c:pt>
                <c:pt idx="239">
                  <c:v>5</c:v>
                </c:pt>
                <c:pt idx="240">
                  <c:v>2</c:v>
                </c:pt>
                <c:pt idx="241">
                  <c:v>11</c:v>
                </c:pt>
                <c:pt idx="242">
                  <c:v>11</c:v>
                </c:pt>
                <c:pt idx="243">
                  <c:v>4</c:v>
                </c:pt>
                <c:pt idx="244">
                  <c:v>53</c:v>
                </c:pt>
                <c:pt idx="245">
                  <c:v>2</c:v>
                </c:pt>
                <c:pt idx="246">
                  <c:v>5</c:v>
                </c:pt>
                <c:pt idx="247">
                  <c:v>16</c:v>
                </c:pt>
                <c:pt idx="248">
                  <c:v>6</c:v>
                </c:pt>
                <c:pt idx="249">
                  <c:v>8</c:v>
                </c:pt>
                <c:pt idx="250">
                  <c:v>36</c:v>
                </c:pt>
                <c:pt idx="251">
                  <c:v>3</c:v>
                </c:pt>
                <c:pt idx="252">
                  <c:v>6</c:v>
                </c:pt>
                <c:pt idx="253">
                  <c:v>13</c:v>
                </c:pt>
                <c:pt idx="254">
                  <c:v>3</c:v>
                </c:pt>
                <c:pt idx="255">
                  <c:v>6</c:v>
                </c:pt>
                <c:pt idx="256">
                  <c:v>38</c:v>
                </c:pt>
                <c:pt idx="257">
                  <c:v>15</c:v>
                </c:pt>
                <c:pt idx="258">
                  <c:v>21</c:v>
                </c:pt>
                <c:pt idx="259">
                  <c:v>20</c:v>
                </c:pt>
                <c:pt idx="260">
                  <c:v>13</c:v>
                </c:pt>
                <c:pt idx="261">
                  <c:v>5</c:v>
                </c:pt>
                <c:pt idx="262">
                  <c:v>27</c:v>
                </c:pt>
                <c:pt idx="263">
                  <c:v>1</c:v>
                </c:pt>
                <c:pt idx="264">
                  <c:v>17</c:v>
                </c:pt>
                <c:pt idx="265">
                  <c:v>45</c:v>
                </c:pt>
                <c:pt idx="266">
                  <c:v>34</c:v>
                </c:pt>
                <c:pt idx="267">
                  <c:v>17</c:v>
                </c:pt>
                <c:pt idx="268">
                  <c:v>47</c:v>
                </c:pt>
                <c:pt idx="269">
                  <c:v>22</c:v>
                </c:pt>
                <c:pt idx="270">
                  <c:v>3</c:v>
                </c:pt>
                <c:pt idx="271">
                  <c:v>32</c:v>
                </c:pt>
                <c:pt idx="272">
                  <c:v>26</c:v>
                </c:pt>
                <c:pt idx="273">
                  <c:v>4</c:v>
                </c:pt>
                <c:pt idx="274">
                  <c:v>6</c:v>
                </c:pt>
                <c:pt idx="275">
                  <c:v>9</c:v>
                </c:pt>
                <c:pt idx="276">
                  <c:v>6</c:v>
                </c:pt>
                <c:pt idx="277">
                  <c:v>3</c:v>
                </c:pt>
                <c:pt idx="278">
                  <c:v>26</c:v>
                </c:pt>
                <c:pt idx="279">
                  <c:v>4</c:v>
                </c:pt>
                <c:pt idx="280">
                  <c:v>7</c:v>
                </c:pt>
                <c:pt idx="281">
                  <c:v>22</c:v>
                </c:pt>
                <c:pt idx="282">
                  <c:v>7</c:v>
                </c:pt>
                <c:pt idx="283">
                  <c:v>6</c:v>
                </c:pt>
                <c:pt idx="284">
                  <c:v>6</c:v>
                </c:pt>
                <c:pt idx="285">
                  <c:v>39</c:v>
                </c:pt>
                <c:pt idx="286">
                  <c:v>8</c:v>
                </c:pt>
                <c:pt idx="287">
                  <c:v>1</c:v>
                </c:pt>
                <c:pt idx="288">
                  <c:v>2</c:v>
                </c:pt>
                <c:pt idx="289">
                  <c:v>4</c:v>
                </c:pt>
                <c:pt idx="290">
                  <c:v>33</c:v>
                </c:pt>
                <c:pt idx="291">
                  <c:v>5</c:v>
                </c:pt>
                <c:pt idx="292">
                  <c:v>19</c:v>
                </c:pt>
                <c:pt idx="293">
                  <c:v>10</c:v>
                </c:pt>
                <c:pt idx="294">
                  <c:v>13</c:v>
                </c:pt>
                <c:pt idx="295">
                  <c:v>26</c:v>
                </c:pt>
                <c:pt idx="296">
                  <c:v>23</c:v>
                </c:pt>
                <c:pt idx="297">
                  <c:v>10</c:v>
                </c:pt>
                <c:pt idx="298">
                  <c:v>19</c:v>
                </c:pt>
                <c:pt idx="299">
                  <c:v>57</c:v>
                </c:pt>
                <c:pt idx="300">
                  <c:v>2</c:v>
                </c:pt>
                <c:pt idx="301">
                  <c:v>18</c:v>
                </c:pt>
                <c:pt idx="302">
                  <c:v>15</c:v>
                </c:pt>
                <c:pt idx="303">
                  <c:v>6</c:v>
                </c:pt>
                <c:pt idx="304">
                  <c:v>42</c:v>
                </c:pt>
                <c:pt idx="305">
                  <c:v>42</c:v>
                </c:pt>
                <c:pt idx="306">
                  <c:v>4</c:v>
                </c:pt>
                <c:pt idx="307">
                  <c:v>21</c:v>
                </c:pt>
                <c:pt idx="308">
                  <c:v>2</c:v>
                </c:pt>
                <c:pt idx="309">
                  <c:v>21</c:v>
                </c:pt>
                <c:pt idx="310">
                  <c:v>17</c:v>
                </c:pt>
                <c:pt idx="311">
                  <c:v>13</c:v>
                </c:pt>
                <c:pt idx="312">
                  <c:v>8</c:v>
                </c:pt>
                <c:pt idx="313">
                  <c:v>3</c:v>
                </c:pt>
                <c:pt idx="314">
                  <c:v>6</c:v>
                </c:pt>
                <c:pt idx="315">
                  <c:v>30</c:v>
                </c:pt>
                <c:pt idx="316">
                  <c:v>2</c:v>
                </c:pt>
                <c:pt idx="317">
                  <c:v>14</c:v>
                </c:pt>
                <c:pt idx="318">
                  <c:v>3</c:v>
                </c:pt>
                <c:pt idx="319">
                  <c:v>25</c:v>
                </c:pt>
                <c:pt idx="320">
                  <c:v>10</c:v>
                </c:pt>
                <c:pt idx="321">
                  <c:v>9</c:v>
                </c:pt>
                <c:pt idx="322">
                  <c:v>14</c:v>
                </c:pt>
                <c:pt idx="323">
                  <c:v>3</c:v>
                </c:pt>
                <c:pt idx="324">
                  <c:v>13</c:v>
                </c:pt>
                <c:pt idx="325">
                  <c:v>24</c:v>
                </c:pt>
                <c:pt idx="326">
                  <c:v>7</c:v>
                </c:pt>
                <c:pt idx="327">
                  <c:v>5</c:v>
                </c:pt>
                <c:pt idx="328">
                  <c:v>12</c:v>
                </c:pt>
                <c:pt idx="329">
                  <c:v>12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29</c:v>
                </c:pt>
                <c:pt idx="334">
                  <c:v>8</c:v>
                </c:pt>
                <c:pt idx="335">
                  <c:v>14</c:v>
                </c:pt>
                <c:pt idx="336">
                  <c:v>2</c:v>
                </c:pt>
                <c:pt idx="337">
                  <c:v>2</c:v>
                </c:pt>
                <c:pt idx="338">
                  <c:v>31</c:v>
                </c:pt>
                <c:pt idx="339">
                  <c:v>15</c:v>
                </c:pt>
                <c:pt idx="340">
                  <c:v>2</c:v>
                </c:pt>
                <c:pt idx="341">
                  <c:v>8</c:v>
                </c:pt>
                <c:pt idx="342">
                  <c:v>13</c:v>
                </c:pt>
                <c:pt idx="343">
                  <c:v>54</c:v>
                </c:pt>
                <c:pt idx="344">
                  <c:v>41</c:v>
                </c:pt>
                <c:pt idx="345">
                  <c:v>2</c:v>
                </c:pt>
                <c:pt idx="346">
                  <c:v>56</c:v>
                </c:pt>
                <c:pt idx="347">
                  <c:v>25</c:v>
                </c:pt>
                <c:pt idx="348">
                  <c:v>14</c:v>
                </c:pt>
                <c:pt idx="349">
                  <c:v>31</c:v>
                </c:pt>
                <c:pt idx="350">
                  <c:v>19</c:v>
                </c:pt>
                <c:pt idx="351">
                  <c:v>15</c:v>
                </c:pt>
                <c:pt idx="352">
                  <c:v>9</c:v>
                </c:pt>
                <c:pt idx="353">
                  <c:v>2</c:v>
                </c:pt>
                <c:pt idx="354">
                  <c:v>8</c:v>
                </c:pt>
                <c:pt idx="355">
                  <c:v>41</c:v>
                </c:pt>
                <c:pt idx="356">
                  <c:v>10</c:v>
                </c:pt>
                <c:pt idx="357">
                  <c:v>26</c:v>
                </c:pt>
                <c:pt idx="358">
                  <c:v>4</c:v>
                </c:pt>
                <c:pt idx="359">
                  <c:v>8</c:v>
                </c:pt>
                <c:pt idx="360">
                  <c:v>15</c:v>
                </c:pt>
                <c:pt idx="361">
                  <c:v>25</c:v>
                </c:pt>
                <c:pt idx="362">
                  <c:v>39</c:v>
                </c:pt>
                <c:pt idx="363">
                  <c:v>2</c:v>
                </c:pt>
                <c:pt idx="364">
                  <c:v>31</c:v>
                </c:pt>
                <c:pt idx="365">
                  <c:v>28</c:v>
                </c:pt>
                <c:pt idx="366">
                  <c:v>2</c:v>
                </c:pt>
                <c:pt idx="367">
                  <c:v>25</c:v>
                </c:pt>
                <c:pt idx="368">
                  <c:v>24</c:v>
                </c:pt>
                <c:pt idx="369">
                  <c:v>40</c:v>
                </c:pt>
                <c:pt idx="370">
                  <c:v>7</c:v>
                </c:pt>
                <c:pt idx="371">
                  <c:v>52</c:v>
                </c:pt>
                <c:pt idx="372">
                  <c:v>21</c:v>
                </c:pt>
                <c:pt idx="373">
                  <c:v>9</c:v>
                </c:pt>
                <c:pt idx="374">
                  <c:v>6</c:v>
                </c:pt>
                <c:pt idx="375">
                  <c:v>58</c:v>
                </c:pt>
                <c:pt idx="376">
                  <c:v>7</c:v>
                </c:pt>
                <c:pt idx="377">
                  <c:v>15</c:v>
                </c:pt>
                <c:pt idx="378">
                  <c:v>39</c:v>
                </c:pt>
                <c:pt idx="379">
                  <c:v>15</c:v>
                </c:pt>
                <c:pt idx="380">
                  <c:v>6</c:v>
                </c:pt>
                <c:pt idx="381">
                  <c:v>47</c:v>
                </c:pt>
                <c:pt idx="382">
                  <c:v>20</c:v>
                </c:pt>
                <c:pt idx="383">
                  <c:v>7</c:v>
                </c:pt>
                <c:pt idx="384">
                  <c:v>28</c:v>
                </c:pt>
                <c:pt idx="385">
                  <c:v>33</c:v>
                </c:pt>
                <c:pt idx="386">
                  <c:v>13</c:v>
                </c:pt>
                <c:pt idx="387">
                  <c:v>6</c:v>
                </c:pt>
                <c:pt idx="388">
                  <c:v>3</c:v>
                </c:pt>
                <c:pt idx="389">
                  <c:v>28</c:v>
                </c:pt>
                <c:pt idx="390">
                  <c:v>16</c:v>
                </c:pt>
                <c:pt idx="391">
                  <c:v>3</c:v>
                </c:pt>
                <c:pt idx="392">
                  <c:v>3</c:v>
                </c:pt>
                <c:pt idx="393">
                  <c:v>2</c:v>
                </c:pt>
                <c:pt idx="394">
                  <c:v>11</c:v>
                </c:pt>
                <c:pt idx="395">
                  <c:v>2</c:v>
                </c:pt>
                <c:pt idx="396">
                  <c:v>9</c:v>
                </c:pt>
                <c:pt idx="397">
                  <c:v>7</c:v>
                </c:pt>
                <c:pt idx="398">
                  <c:v>3</c:v>
                </c:pt>
                <c:pt idx="399">
                  <c:v>8</c:v>
                </c:pt>
                <c:pt idx="400">
                  <c:v>23</c:v>
                </c:pt>
                <c:pt idx="401">
                  <c:v>1</c:v>
                </c:pt>
                <c:pt idx="402">
                  <c:v>48</c:v>
                </c:pt>
                <c:pt idx="403">
                  <c:v>37</c:v>
                </c:pt>
                <c:pt idx="404">
                  <c:v>4</c:v>
                </c:pt>
                <c:pt idx="405">
                  <c:v>51</c:v>
                </c:pt>
                <c:pt idx="406">
                  <c:v>13</c:v>
                </c:pt>
                <c:pt idx="407">
                  <c:v>8</c:v>
                </c:pt>
                <c:pt idx="408">
                  <c:v>21</c:v>
                </c:pt>
                <c:pt idx="409">
                  <c:v>5</c:v>
                </c:pt>
                <c:pt idx="410">
                  <c:v>1</c:v>
                </c:pt>
                <c:pt idx="411">
                  <c:v>3</c:v>
                </c:pt>
                <c:pt idx="412">
                  <c:v>11</c:v>
                </c:pt>
                <c:pt idx="413">
                  <c:v>28</c:v>
                </c:pt>
                <c:pt idx="414">
                  <c:v>9</c:v>
                </c:pt>
                <c:pt idx="415">
                  <c:v>18</c:v>
                </c:pt>
                <c:pt idx="416">
                  <c:v>10</c:v>
                </c:pt>
                <c:pt idx="417">
                  <c:v>25</c:v>
                </c:pt>
                <c:pt idx="418">
                  <c:v>2</c:v>
                </c:pt>
                <c:pt idx="419">
                  <c:v>7</c:v>
                </c:pt>
                <c:pt idx="420">
                  <c:v>15</c:v>
                </c:pt>
                <c:pt idx="421">
                  <c:v>31</c:v>
                </c:pt>
                <c:pt idx="422">
                  <c:v>21</c:v>
                </c:pt>
                <c:pt idx="423">
                  <c:v>3</c:v>
                </c:pt>
                <c:pt idx="424">
                  <c:v>7</c:v>
                </c:pt>
                <c:pt idx="425">
                  <c:v>7</c:v>
                </c:pt>
                <c:pt idx="426">
                  <c:v>8</c:v>
                </c:pt>
                <c:pt idx="427">
                  <c:v>33</c:v>
                </c:pt>
                <c:pt idx="428">
                  <c:v>8</c:v>
                </c:pt>
                <c:pt idx="429">
                  <c:v>29</c:v>
                </c:pt>
                <c:pt idx="430">
                  <c:v>35</c:v>
                </c:pt>
                <c:pt idx="431">
                  <c:v>18</c:v>
                </c:pt>
                <c:pt idx="432">
                  <c:v>21</c:v>
                </c:pt>
                <c:pt idx="433">
                  <c:v>17</c:v>
                </c:pt>
                <c:pt idx="434">
                  <c:v>15</c:v>
                </c:pt>
                <c:pt idx="435">
                  <c:v>13</c:v>
                </c:pt>
                <c:pt idx="436">
                  <c:v>2</c:v>
                </c:pt>
                <c:pt idx="437">
                  <c:v>4</c:v>
                </c:pt>
                <c:pt idx="438">
                  <c:v>31</c:v>
                </c:pt>
                <c:pt idx="439">
                  <c:v>8</c:v>
                </c:pt>
                <c:pt idx="440">
                  <c:v>11</c:v>
                </c:pt>
                <c:pt idx="441">
                  <c:v>29</c:v>
                </c:pt>
                <c:pt idx="442">
                  <c:v>17</c:v>
                </c:pt>
                <c:pt idx="443">
                  <c:v>20</c:v>
                </c:pt>
                <c:pt idx="444">
                  <c:v>3</c:v>
                </c:pt>
                <c:pt idx="445">
                  <c:v>22</c:v>
                </c:pt>
                <c:pt idx="446">
                  <c:v>3</c:v>
                </c:pt>
                <c:pt idx="447">
                  <c:v>17</c:v>
                </c:pt>
                <c:pt idx="448">
                  <c:v>3</c:v>
                </c:pt>
                <c:pt idx="449">
                  <c:v>18</c:v>
                </c:pt>
                <c:pt idx="450">
                  <c:v>24</c:v>
                </c:pt>
                <c:pt idx="451">
                  <c:v>32</c:v>
                </c:pt>
                <c:pt idx="452">
                  <c:v>2</c:v>
                </c:pt>
                <c:pt idx="453">
                  <c:v>42</c:v>
                </c:pt>
                <c:pt idx="454">
                  <c:v>37</c:v>
                </c:pt>
                <c:pt idx="455">
                  <c:v>24</c:v>
                </c:pt>
                <c:pt idx="456">
                  <c:v>1</c:v>
                </c:pt>
                <c:pt idx="457">
                  <c:v>3</c:v>
                </c:pt>
                <c:pt idx="458">
                  <c:v>45</c:v>
                </c:pt>
                <c:pt idx="459">
                  <c:v>26</c:v>
                </c:pt>
                <c:pt idx="460">
                  <c:v>4</c:v>
                </c:pt>
                <c:pt idx="461">
                  <c:v>21</c:v>
                </c:pt>
                <c:pt idx="462">
                  <c:v>39</c:v>
                </c:pt>
                <c:pt idx="463">
                  <c:v>5</c:v>
                </c:pt>
                <c:pt idx="464">
                  <c:v>15</c:v>
                </c:pt>
                <c:pt idx="465">
                  <c:v>10</c:v>
                </c:pt>
                <c:pt idx="466">
                  <c:v>24</c:v>
                </c:pt>
                <c:pt idx="467">
                  <c:v>8</c:v>
                </c:pt>
                <c:pt idx="468">
                  <c:v>17</c:v>
                </c:pt>
                <c:pt idx="469">
                  <c:v>3</c:v>
                </c:pt>
                <c:pt idx="470">
                  <c:v>8</c:v>
                </c:pt>
                <c:pt idx="471">
                  <c:v>1</c:v>
                </c:pt>
                <c:pt idx="472">
                  <c:v>55</c:v>
                </c:pt>
                <c:pt idx="473">
                  <c:v>2</c:v>
                </c:pt>
                <c:pt idx="474">
                  <c:v>2</c:v>
                </c:pt>
                <c:pt idx="475">
                  <c:v>5</c:v>
                </c:pt>
                <c:pt idx="476">
                  <c:v>7</c:v>
                </c:pt>
                <c:pt idx="477">
                  <c:v>28</c:v>
                </c:pt>
                <c:pt idx="478">
                  <c:v>13</c:v>
                </c:pt>
                <c:pt idx="479">
                  <c:v>3</c:v>
                </c:pt>
                <c:pt idx="480">
                  <c:v>10</c:v>
                </c:pt>
                <c:pt idx="481">
                  <c:v>43</c:v>
                </c:pt>
                <c:pt idx="482">
                  <c:v>12</c:v>
                </c:pt>
                <c:pt idx="483">
                  <c:v>8</c:v>
                </c:pt>
                <c:pt idx="484">
                  <c:v>50</c:v>
                </c:pt>
                <c:pt idx="485">
                  <c:v>42</c:v>
                </c:pt>
                <c:pt idx="486">
                  <c:v>16</c:v>
                </c:pt>
                <c:pt idx="487">
                  <c:v>34</c:v>
                </c:pt>
                <c:pt idx="488">
                  <c:v>18</c:v>
                </c:pt>
                <c:pt idx="489">
                  <c:v>6</c:v>
                </c:pt>
                <c:pt idx="490">
                  <c:v>8</c:v>
                </c:pt>
                <c:pt idx="491">
                  <c:v>27</c:v>
                </c:pt>
                <c:pt idx="492">
                  <c:v>36</c:v>
                </c:pt>
                <c:pt idx="493">
                  <c:v>14</c:v>
                </c:pt>
                <c:pt idx="494">
                  <c:v>2</c:v>
                </c:pt>
                <c:pt idx="495">
                  <c:v>5</c:v>
                </c:pt>
                <c:pt idx="496">
                  <c:v>18</c:v>
                </c:pt>
                <c:pt idx="497">
                  <c:v>1</c:v>
                </c:pt>
                <c:pt idx="498">
                  <c:v>3</c:v>
                </c:pt>
                <c:pt idx="499">
                  <c:v>6</c:v>
                </c:pt>
                <c:pt idx="500">
                  <c:v>29</c:v>
                </c:pt>
                <c:pt idx="501">
                  <c:v>3</c:v>
                </c:pt>
                <c:pt idx="502">
                  <c:v>30</c:v>
                </c:pt>
                <c:pt idx="503">
                  <c:v>21</c:v>
                </c:pt>
                <c:pt idx="504">
                  <c:v>2</c:v>
                </c:pt>
                <c:pt idx="505">
                  <c:v>43</c:v>
                </c:pt>
                <c:pt idx="506">
                  <c:v>18</c:v>
                </c:pt>
                <c:pt idx="507">
                  <c:v>50</c:v>
                </c:pt>
                <c:pt idx="508">
                  <c:v>22</c:v>
                </c:pt>
                <c:pt idx="509">
                  <c:v>11</c:v>
                </c:pt>
                <c:pt idx="510">
                  <c:v>25</c:v>
                </c:pt>
                <c:pt idx="511">
                  <c:v>11</c:v>
                </c:pt>
                <c:pt idx="512">
                  <c:v>2</c:v>
                </c:pt>
                <c:pt idx="513">
                  <c:v>3</c:v>
                </c:pt>
                <c:pt idx="514">
                  <c:v>6</c:v>
                </c:pt>
                <c:pt idx="515">
                  <c:v>3</c:v>
                </c:pt>
                <c:pt idx="516">
                  <c:v>39</c:v>
                </c:pt>
                <c:pt idx="517">
                  <c:v>6</c:v>
                </c:pt>
                <c:pt idx="518">
                  <c:v>3</c:v>
                </c:pt>
                <c:pt idx="519">
                  <c:v>15</c:v>
                </c:pt>
                <c:pt idx="520">
                  <c:v>4</c:v>
                </c:pt>
                <c:pt idx="521">
                  <c:v>7</c:v>
                </c:pt>
                <c:pt idx="522">
                  <c:v>13</c:v>
                </c:pt>
                <c:pt idx="523">
                  <c:v>6</c:v>
                </c:pt>
                <c:pt idx="524">
                  <c:v>14</c:v>
                </c:pt>
                <c:pt idx="525">
                  <c:v>5</c:v>
                </c:pt>
                <c:pt idx="526">
                  <c:v>38</c:v>
                </c:pt>
                <c:pt idx="527">
                  <c:v>37</c:v>
                </c:pt>
                <c:pt idx="528">
                  <c:v>46</c:v>
                </c:pt>
                <c:pt idx="529">
                  <c:v>29</c:v>
                </c:pt>
                <c:pt idx="530">
                  <c:v>15</c:v>
                </c:pt>
                <c:pt idx="531">
                  <c:v>57</c:v>
                </c:pt>
                <c:pt idx="532">
                  <c:v>2</c:v>
                </c:pt>
                <c:pt idx="533">
                  <c:v>37</c:v>
                </c:pt>
                <c:pt idx="534">
                  <c:v>2</c:v>
                </c:pt>
                <c:pt idx="535">
                  <c:v>3</c:v>
                </c:pt>
                <c:pt idx="536">
                  <c:v>27</c:v>
                </c:pt>
                <c:pt idx="537">
                  <c:v>24</c:v>
                </c:pt>
                <c:pt idx="538">
                  <c:v>17</c:v>
                </c:pt>
                <c:pt idx="539">
                  <c:v>7</c:v>
                </c:pt>
                <c:pt idx="540">
                  <c:v>23</c:v>
                </c:pt>
                <c:pt idx="541">
                  <c:v>27</c:v>
                </c:pt>
                <c:pt idx="542">
                  <c:v>31</c:v>
                </c:pt>
                <c:pt idx="543">
                  <c:v>16</c:v>
                </c:pt>
                <c:pt idx="544">
                  <c:v>14</c:v>
                </c:pt>
                <c:pt idx="545">
                  <c:v>21</c:v>
                </c:pt>
                <c:pt idx="546">
                  <c:v>4</c:v>
                </c:pt>
                <c:pt idx="547">
                  <c:v>13</c:v>
                </c:pt>
                <c:pt idx="548">
                  <c:v>14</c:v>
                </c:pt>
                <c:pt idx="549">
                  <c:v>10</c:v>
                </c:pt>
                <c:pt idx="550">
                  <c:v>22</c:v>
                </c:pt>
                <c:pt idx="551">
                  <c:v>41</c:v>
                </c:pt>
                <c:pt idx="552">
                  <c:v>3</c:v>
                </c:pt>
                <c:pt idx="553">
                  <c:v>2</c:v>
                </c:pt>
                <c:pt idx="554">
                  <c:v>7</c:v>
                </c:pt>
                <c:pt idx="555">
                  <c:v>32</c:v>
                </c:pt>
                <c:pt idx="556">
                  <c:v>8</c:v>
                </c:pt>
                <c:pt idx="557">
                  <c:v>4</c:v>
                </c:pt>
                <c:pt idx="558">
                  <c:v>44</c:v>
                </c:pt>
                <c:pt idx="559">
                  <c:v>8</c:v>
                </c:pt>
                <c:pt idx="560">
                  <c:v>41</c:v>
                </c:pt>
                <c:pt idx="561">
                  <c:v>3</c:v>
                </c:pt>
                <c:pt idx="562">
                  <c:v>3</c:v>
                </c:pt>
                <c:pt idx="563">
                  <c:v>21</c:v>
                </c:pt>
                <c:pt idx="564">
                  <c:v>9</c:v>
                </c:pt>
                <c:pt idx="565">
                  <c:v>21</c:v>
                </c:pt>
                <c:pt idx="566">
                  <c:v>24</c:v>
                </c:pt>
                <c:pt idx="567">
                  <c:v>3</c:v>
                </c:pt>
                <c:pt idx="568">
                  <c:v>46</c:v>
                </c:pt>
                <c:pt idx="569">
                  <c:v>13</c:v>
                </c:pt>
                <c:pt idx="570">
                  <c:v>7</c:v>
                </c:pt>
                <c:pt idx="571">
                  <c:v>48</c:v>
                </c:pt>
                <c:pt idx="572">
                  <c:v>17</c:v>
                </c:pt>
                <c:pt idx="573">
                  <c:v>3</c:v>
                </c:pt>
                <c:pt idx="574">
                  <c:v>11</c:v>
                </c:pt>
                <c:pt idx="575">
                  <c:v>4</c:v>
                </c:pt>
                <c:pt idx="576">
                  <c:v>18</c:v>
                </c:pt>
                <c:pt idx="577">
                  <c:v>27</c:v>
                </c:pt>
                <c:pt idx="578">
                  <c:v>4</c:v>
                </c:pt>
                <c:pt idx="579">
                  <c:v>13</c:v>
                </c:pt>
                <c:pt idx="580">
                  <c:v>9</c:v>
                </c:pt>
                <c:pt idx="581">
                  <c:v>16</c:v>
                </c:pt>
                <c:pt idx="582">
                  <c:v>6</c:v>
                </c:pt>
                <c:pt idx="583">
                  <c:v>18</c:v>
                </c:pt>
                <c:pt idx="584">
                  <c:v>15</c:v>
                </c:pt>
                <c:pt idx="585">
                  <c:v>11</c:v>
                </c:pt>
                <c:pt idx="586">
                  <c:v>20</c:v>
                </c:pt>
                <c:pt idx="587">
                  <c:v>53</c:v>
                </c:pt>
                <c:pt idx="588">
                  <c:v>32</c:v>
                </c:pt>
                <c:pt idx="589">
                  <c:v>8</c:v>
                </c:pt>
                <c:pt idx="590">
                  <c:v>12</c:v>
                </c:pt>
                <c:pt idx="591">
                  <c:v>11</c:v>
                </c:pt>
                <c:pt idx="592">
                  <c:v>10</c:v>
                </c:pt>
                <c:pt idx="593">
                  <c:v>14</c:v>
                </c:pt>
                <c:pt idx="594">
                  <c:v>4</c:v>
                </c:pt>
                <c:pt idx="595">
                  <c:v>22</c:v>
                </c:pt>
                <c:pt idx="596">
                  <c:v>8</c:v>
                </c:pt>
                <c:pt idx="597">
                  <c:v>19</c:v>
                </c:pt>
                <c:pt idx="598">
                  <c:v>30</c:v>
                </c:pt>
                <c:pt idx="599">
                  <c:v>9</c:v>
                </c:pt>
                <c:pt idx="600">
                  <c:v>13</c:v>
                </c:pt>
                <c:pt idx="601">
                  <c:v>18</c:v>
                </c:pt>
                <c:pt idx="602">
                  <c:v>12</c:v>
                </c:pt>
                <c:pt idx="603">
                  <c:v>28</c:v>
                </c:pt>
                <c:pt idx="604">
                  <c:v>22</c:v>
                </c:pt>
                <c:pt idx="605">
                  <c:v>42</c:v>
                </c:pt>
                <c:pt idx="606">
                  <c:v>12</c:v>
                </c:pt>
                <c:pt idx="607">
                  <c:v>3</c:v>
                </c:pt>
                <c:pt idx="608">
                  <c:v>5</c:v>
                </c:pt>
                <c:pt idx="609">
                  <c:v>18</c:v>
                </c:pt>
                <c:pt idx="610">
                  <c:v>15</c:v>
                </c:pt>
                <c:pt idx="611">
                  <c:v>13</c:v>
                </c:pt>
                <c:pt idx="612">
                  <c:v>24</c:v>
                </c:pt>
                <c:pt idx="613">
                  <c:v>10</c:v>
                </c:pt>
                <c:pt idx="614">
                  <c:v>19</c:v>
                </c:pt>
                <c:pt idx="615">
                  <c:v>11</c:v>
                </c:pt>
                <c:pt idx="616">
                  <c:v>2</c:v>
                </c:pt>
                <c:pt idx="617">
                  <c:v>11</c:v>
                </c:pt>
                <c:pt idx="618">
                  <c:v>22</c:v>
                </c:pt>
                <c:pt idx="619">
                  <c:v>2</c:v>
                </c:pt>
                <c:pt idx="620">
                  <c:v>5</c:v>
                </c:pt>
                <c:pt idx="621">
                  <c:v>6</c:v>
                </c:pt>
                <c:pt idx="622">
                  <c:v>27</c:v>
                </c:pt>
                <c:pt idx="623">
                  <c:v>6</c:v>
                </c:pt>
                <c:pt idx="624">
                  <c:v>7</c:v>
                </c:pt>
                <c:pt idx="625">
                  <c:v>15</c:v>
                </c:pt>
                <c:pt idx="626">
                  <c:v>10</c:v>
                </c:pt>
                <c:pt idx="627">
                  <c:v>25</c:v>
                </c:pt>
                <c:pt idx="628">
                  <c:v>4</c:v>
                </c:pt>
                <c:pt idx="629">
                  <c:v>3</c:v>
                </c:pt>
                <c:pt idx="630">
                  <c:v>12</c:v>
                </c:pt>
                <c:pt idx="631">
                  <c:v>5</c:v>
                </c:pt>
                <c:pt idx="632">
                  <c:v>19</c:v>
                </c:pt>
                <c:pt idx="633">
                  <c:v>5</c:v>
                </c:pt>
                <c:pt idx="634">
                  <c:v>15</c:v>
                </c:pt>
                <c:pt idx="635">
                  <c:v>33</c:v>
                </c:pt>
                <c:pt idx="636">
                  <c:v>46</c:v>
                </c:pt>
                <c:pt idx="637">
                  <c:v>9</c:v>
                </c:pt>
                <c:pt idx="638">
                  <c:v>13</c:v>
                </c:pt>
                <c:pt idx="639">
                  <c:v>1</c:v>
                </c:pt>
                <c:pt idx="640">
                  <c:v>4</c:v>
                </c:pt>
                <c:pt idx="641">
                  <c:v>29</c:v>
                </c:pt>
                <c:pt idx="642">
                  <c:v>10</c:v>
                </c:pt>
                <c:pt idx="643">
                  <c:v>19</c:v>
                </c:pt>
                <c:pt idx="644">
                  <c:v>17</c:v>
                </c:pt>
                <c:pt idx="645">
                  <c:v>22</c:v>
                </c:pt>
                <c:pt idx="646">
                  <c:v>12</c:v>
                </c:pt>
                <c:pt idx="647">
                  <c:v>25</c:v>
                </c:pt>
                <c:pt idx="648">
                  <c:v>19</c:v>
                </c:pt>
                <c:pt idx="649">
                  <c:v>12</c:v>
                </c:pt>
                <c:pt idx="650">
                  <c:v>28</c:v>
                </c:pt>
                <c:pt idx="651">
                  <c:v>16</c:v>
                </c:pt>
                <c:pt idx="652">
                  <c:v>44</c:v>
                </c:pt>
                <c:pt idx="653">
                  <c:v>3</c:v>
                </c:pt>
                <c:pt idx="654">
                  <c:v>6</c:v>
                </c:pt>
                <c:pt idx="655">
                  <c:v>14</c:v>
                </c:pt>
                <c:pt idx="656">
                  <c:v>6</c:v>
                </c:pt>
                <c:pt idx="657">
                  <c:v>17</c:v>
                </c:pt>
                <c:pt idx="658">
                  <c:v>24</c:v>
                </c:pt>
                <c:pt idx="659">
                  <c:v>2</c:v>
                </c:pt>
                <c:pt idx="660">
                  <c:v>10</c:v>
                </c:pt>
                <c:pt idx="661">
                  <c:v>31</c:v>
                </c:pt>
                <c:pt idx="662">
                  <c:v>5</c:v>
                </c:pt>
                <c:pt idx="663">
                  <c:v>24</c:v>
                </c:pt>
                <c:pt idx="664">
                  <c:v>11</c:v>
                </c:pt>
                <c:pt idx="665">
                  <c:v>15</c:v>
                </c:pt>
                <c:pt idx="666">
                  <c:v>7</c:v>
                </c:pt>
                <c:pt idx="667">
                  <c:v>10</c:v>
                </c:pt>
                <c:pt idx="668">
                  <c:v>13</c:v>
                </c:pt>
                <c:pt idx="669">
                  <c:v>10</c:v>
                </c:pt>
                <c:pt idx="670">
                  <c:v>13</c:v>
                </c:pt>
                <c:pt idx="671">
                  <c:v>5</c:v>
                </c:pt>
                <c:pt idx="672">
                  <c:v>11</c:v>
                </c:pt>
                <c:pt idx="673">
                  <c:v>22</c:v>
                </c:pt>
                <c:pt idx="674">
                  <c:v>48</c:v>
                </c:pt>
                <c:pt idx="675">
                  <c:v>8</c:v>
                </c:pt>
                <c:pt idx="676">
                  <c:v>10</c:v>
                </c:pt>
                <c:pt idx="677">
                  <c:v>51</c:v>
                </c:pt>
                <c:pt idx="678">
                  <c:v>3</c:v>
                </c:pt>
                <c:pt idx="679">
                  <c:v>6</c:v>
                </c:pt>
                <c:pt idx="680">
                  <c:v>3</c:v>
                </c:pt>
                <c:pt idx="681">
                  <c:v>7</c:v>
                </c:pt>
                <c:pt idx="682">
                  <c:v>10</c:v>
                </c:pt>
                <c:pt idx="683">
                  <c:v>3</c:v>
                </c:pt>
                <c:pt idx="684">
                  <c:v>21</c:v>
                </c:pt>
                <c:pt idx="685">
                  <c:v>25</c:v>
                </c:pt>
                <c:pt idx="686">
                  <c:v>12</c:v>
                </c:pt>
                <c:pt idx="687">
                  <c:v>4</c:v>
                </c:pt>
                <c:pt idx="688">
                  <c:v>17</c:v>
                </c:pt>
                <c:pt idx="689">
                  <c:v>13</c:v>
                </c:pt>
                <c:pt idx="690">
                  <c:v>7</c:v>
                </c:pt>
                <c:pt idx="691">
                  <c:v>18</c:v>
                </c:pt>
                <c:pt idx="692">
                  <c:v>19</c:v>
                </c:pt>
                <c:pt idx="693">
                  <c:v>18</c:v>
                </c:pt>
                <c:pt idx="694">
                  <c:v>38</c:v>
                </c:pt>
                <c:pt idx="695">
                  <c:v>17</c:v>
                </c:pt>
                <c:pt idx="696">
                  <c:v>2</c:v>
                </c:pt>
                <c:pt idx="697">
                  <c:v>3</c:v>
                </c:pt>
                <c:pt idx="698">
                  <c:v>15</c:v>
                </c:pt>
                <c:pt idx="699">
                  <c:v>2</c:v>
                </c:pt>
                <c:pt idx="700">
                  <c:v>16</c:v>
                </c:pt>
                <c:pt idx="701">
                  <c:v>8</c:v>
                </c:pt>
                <c:pt idx="702">
                  <c:v>6</c:v>
                </c:pt>
                <c:pt idx="703">
                  <c:v>18</c:v>
                </c:pt>
                <c:pt idx="704">
                  <c:v>16</c:v>
                </c:pt>
                <c:pt idx="705">
                  <c:v>5</c:v>
                </c:pt>
                <c:pt idx="706">
                  <c:v>9</c:v>
                </c:pt>
                <c:pt idx="707">
                  <c:v>37</c:v>
                </c:pt>
                <c:pt idx="708">
                  <c:v>11</c:v>
                </c:pt>
                <c:pt idx="709">
                  <c:v>8</c:v>
                </c:pt>
                <c:pt idx="710">
                  <c:v>8</c:v>
                </c:pt>
                <c:pt idx="711">
                  <c:v>3</c:v>
                </c:pt>
                <c:pt idx="712">
                  <c:v>42</c:v>
                </c:pt>
                <c:pt idx="713">
                  <c:v>13</c:v>
                </c:pt>
                <c:pt idx="714">
                  <c:v>2</c:v>
                </c:pt>
                <c:pt idx="715">
                  <c:v>6</c:v>
                </c:pt>
                <c:pt idx="716">
                  <c:v>29</c:v>
                </c:pt>
                <c:pt idx="717">
                  <c:v>22</c:v>
                </c:pt>
                <c:pt idx="718">
                  <c:v>27</c:v>
                </c:pt>
                <c:pt idx="719">
                  <c:v>12</c:v>
                </c:pt>
                <c:pt idx="720">
                  <c:v>15</c:v>
                </c:pt>
                <c:pt idx="721">
                  <c:v>7</c:v>
                </c:pt>
                <c:pt idx="722">
                  <c:v>28</c:v>
                </c:pt>
                <c:pt idx="723">
                  <c:v>22</c:v>
                </c:pt>
                <c:pt idx="724">
                  <c:v>3</c:v>
                </c:pt>
                <c:pt idx="725">
                  <c:v>3</c:v>
                </c:pt>
                <c:pt idx="726">
                  <c:v>7</c:v>
                </c:pt>
                <c:pt idx="727">
                  <c:v>59</c:v>
                </c:pt>
                <c:pt idx="728">
                  <c:v>12</c:v>
                </c:pt>
                <c:pt idx="729">
                  <c:v>3</c:v>
                </c:pt>
                <c:pt idx="730">
                  <c:v>7</c:v>
                </c:pt>
                <c:pt idx="731">
                  <c:v>2</c:v>
                </c:pt>
                <c:pt idx="732">
                  <c:v>24</c:v>
                </c:pt>
                <c:pt idx="733">
                  <c:v>14</c:v>
                </c:pt>
                <c:pt idx="734">
                  <c:v>13</c:v>
                </c:pt>
                <c:pt idx="735">
                  <c:v>8</c:v>
                </c:pt>
                <c:pt idx="736">
                  <c:v>5</c:v>
                </c:pt>
                <c:pt idx="737">
                  <c:v>13</c:v>
                </c:pt>
                <c:pt idx="738">
                  <c:v>23</c:v>
                </c:pt>
                <c:pt idx="739">
                  <c:v>2</c:v>
                </c:pt>
                <c:pt idx="740">
                  <c:v>4</c:v>
                </c:pt>
                <c:pt idx="741">
                  <c:v>2</c:v>
                </c:pt>
                <c:pt idx="742">
                  <c:v>43</c:v>
                </c:pt>
                <c:pt idx="743">
                  <c:v>7</c:v>
                </c:pt>
                <c:pt idx="744">
                  <c:v>3</c:v>
                </c:pt>
                <c:pt idx="745">
                  <c:v>28</c:v>
                </c:pt>
                <c:pt idx="746">
                  <c:v>6</c:v>
                </c:pt>
                <c:pt idx="747">
                  <c:v>12</c:v>
                </c:pt>
                <c:pt idx="748">
                  <c:v>26</c:v>
                </c:pt>
                <c:pt idx="749">
                  <c:v>13</c:v>
                </c:pt>
                <c:pt idx="750">
                  <c:v>26</c:v>
                </c:pt>
                <c:pt idx="751">
                  <c:v>16</c:v>
                </c:pt>
                <c:pt idx="752">
                  <c:v>19</c:v>
                </c:pt>
                <c:pt idx="753">
                  <c:v>16</c:v>
                </c:pt>
                <c:pt idx="754">
                  <c:v>54</c:v>
                </c:pt>
                <c:pt idx="755">
                  <c:v>13</c:v>
                </c:pt>
                <c:pt idx="756">
                  <c:v>7</c:v>
                </c:pt>
                <c:pt idx="757">
                  <c:v>5</c:v>
                </c:pt>
                <c:pt idx="758">
                  <c:v>10</c:v>
                </c:pt>
                <c:pt idx="759">
                  <c:v>31</c:v>
                </c:pt>
                <c:pt idx="760">
                  <c:v>30</c:v>
                </c:pt>
                <c:pt idx="761">
                  <c:v>6</c:v>
                </c:pt>
                <c:pt idx="762">
                  <c:v>12</c:v>
                </c:pt>
                <c:pt idx="763">
                  <c:v>36</c:v>
                </c:pt>
                <c:pt idx="764">
                  <c:v>9</c:v>
                </c:pt>
                <c:pt idx="765">
                  <c:v>26</c:v>
                </c:pt>
                <c:pt idx="766">
                  <c:v>2</c:v>
                </c:pt>
                <c:pt idx="767">
                  <c:v>46</c:v>
                </c:pt>
                <c:pt idx="768">
                  <c:v>16</c:v>
                </c:pt>
                <c:pt idx="769">
                  <c:v>27</c:v>
                </c:pt>
                <c:pt idx="770">
                  <c:v>8</c:v>
                </c:pt>
                <c:pt idx="771">
                  <c:v>28</c:v>
                </c:pt>
                <c:pt idx="772">
                  <c:v>5</c:v>
                </c:pt>
                <c:pt idx="773">
                  <c:v>11</c:v>
                </c:pt>
                <c:pt idx="774">
                  <c:v>42</c:v>
                </c:pt>
                <c:pt idx="775">
                  <c:v>11</c:v>
                </c:pt>
                <c:pt idx="776">
                  <c:v>19</c:v>
                </c:pt>
                <c:pt idx="777">
                  <c:v>30</c:v>
                </c:pt>
                <c:pt idx="778">
                  <c:v>6</c:v>
                </c:pt>
                <c:pt idx="779">
                  <c:v>10</c:v>
                </c:pt>
                <c:pt idx="780">
                  <c:v>20</c:v>
                </c:pt>
                <c:pt idx="781">
                  <c:v>52</c:v>
                </c:pt>
                <c:pt idx="782">
                  <c:v>29</c:v>
                </c:pt>
                <c:pt idx="783">
                  <c:v>8</c:v>
                </c:pt>
                <c:pt idx="784">
                  <c:v>12</c:v>
                </c:pt>
                <c:pt idx="785">
                  <c:v>35</c:v>
                </c:pt>
                <c:pt idx="786">
                  <c:v>8</c:v>
                </c:pt>
                <c:pt idx="787">
                  <c:v>10</c:v>
                </c:pt>
                <c:pt idx="788">
                  <c:v>22</c:v>
                </c:pt>
                <c:pt idx="789">
                  <c:v>38</c:v>
                </c:pt>
                <c:pt idx="790">
                  <c:v>7</c:v>
                </c:pt>
                <c:pt idx="791">
                  <c:v>17</c:v>
                </c:pt>
                <c:pt idx="792">
                  <c:v>29</c:v>
                </c:pt>
                <c:pt idx="793">
                  <c:v>5</c:v>
                </c:pt>
                <c:pt idx="794">
                  <c:v>13</c:v>
                </c:pt>
                <c:pt idx="795">
                  <c:v>4</c:v>
                </c:pt>
                <c:pt idx="796">
                  <c:v>8</c:v>
                </c:pt>
                <c:pt idx="797">
                  <c:v>24</c:v>
                </c:pt>
                <c:pt idx="798">
                  <c:v>29</c:v>
                </c:pt>
                <c:pt idx="799">
                  <c:v>5</c:v>
                </c:pt>
                <c:pt idx="800">
                  <c:v>5</c:v>
                </c:pt>
                <c:pt idx="801">
                  <c:v>23</c:v>
                </c:pt>
                <c:pt idx="802">
                  <c:v>3</c:v>
                </c:pt>
                <c:pt idx="803">
                  <c:v>35</c:v>
                </c:pt>
                <c:pt idx="804">
                  <c:v>21</c:v>
                </c:pt>
                <c:pt idx="805">
                  <c:v>52</c:v>
                </c:pt>
                <c:pt idx="806">
                  <c:v>25</c:v>
                </c:pt>
                <c:pt idx="807">
                  <c:v>45</c:v>
                </c:pt>
                <c:pt idx="808">
                  <c:v>18</c:v>
                </c:pt>
                <c:pt idx="809">
                  <c:v>2</c:v>
                </c:pt>
                <c:pt idx="810">
                  <c:v>11</c:v>
                </c:pt>
                <c:pt idx="811">
                  <c:v>3</c:v>
                </c:pt>
                <c:pt idx="812">
                  <c:v>6</c:v>
                </c:pt>
                <c:pt idx="813">
                  <c:v>11</c:v>
                </c:pt>
                <c:pt idx="814">
                  <c:v>3</c:v>
                </c:pt>
                <c:pt idx="815">
                  <c:v>27</c:v>
                </c:pt>
                <c:pt idx="816">
                  <c:v>3</c:v>
                </c:pt>
                <c:pt idx="817">
                  <c:v>29</c:v>
                </c:pt>
                <c:pt idx="818">
                  <c:v>14</c:v>
                </c:pt>
                <c:pt idx="819">
                  <c:v>16</c:v>
                </c:pt>
                <c:pt idx="820">
                  <c:v>14</c:v>
                </c:pt>
                <c:pt idx="821">
                  <c:v>14</c:v>
                </c:pt>
                <c:pt idx="822">
                  <c:v>18</c:v>
                </c:pt>
                <c:pt idx="823">
                  <c:v>26</c:v>
                </c:pt>
                <c:pt idx="824">
                  <c:v>33</c:v>
                </c:pt>
                <c:pt idx="825">
                  <c:v>13</c:v>
                </c:pt>
                <c:pt idx="826">
                  <c:v>29</c:v>
                </c:pt>
                <c:pt idx="827">
                  <c:v>13</c:v>
                </c:pt>
                <c:pt idx="828">
                  <c:v>26</c:v>
                </c:pt>
                <c:pt idx="829">
                  <c:v>16</c:v>
                </c:pt>
                <c:pt idx="830">
                  <c:v>60</c:v>
                </c:pt>
                <c:pt idx="831">
                  <c:v>35</c:v>
                </c:pt>
                <c:pt idx="832">
                  <c:v>35</c:v>
                </c:pt>
                <c:pt idx="833">
                  <c:v>12</c:v>
                </c:pt>
                <c:pt idx="834">
                  <c:v>7</c:v>
                </c:pt>
                <c:pt idx="835">
                  <c:v>7</c:v>
                </c:pt>
                <c:pt idx="836">
                  <c:v>12</c:v>
                </c:pt>
                <c:pt idx="837">
                  <c:v>55</c:v>
                </c:pt>
                <c:pt idx="838">
                  <c:v>10</c:v>
                </c:pt>
                <c:pt idx="839">
                  <c:v>46</c:v>
                </c:pt>
                <c:pt idx="840">
                  <c:v>3</c:v>
                </c:pt>
                <c:pt idx="841">
                  <c:v>17</c:v>
                </c:pt>
                <c:pt idx="842">
                  <c:v>4</c:v>
                </c:pt>
                <c:pt idx="843">
                  <c:v>7</c:v>
                </c:pt>
                <c:pt idx="844">
                  <c:v>4</c:v>
                </c:pt>
                <c:pt idx="845">
                  <c:v>38</c:v>
                </c:pt>
                <c:pt idx="846">
                  <c:v>37</c:v>
                </c:pt>
                <c:pt idx="847">
                  <c:v>4</c:v>
                </c:pt>
                <c:pt idx="848">
                  <c:v>10</c:v>
                </c:pt>
                <c:pt idx="849">
                  <c:v>4</c:v>
                </c:pt>
                <c:pt idx="850">
                  <c:v>16</c:v>
                </c:pt>
                <c:pt idx="851">
                  <c:v>34</c:v>
                </c:pt>
                <c:pt idx="852">
                  <c:v>11</c:v>
                </c:pt>
                <c:pt idx="853">
                  <c:v>6</c:v>
                </c:pt>
                <c:pt idx="854">
                  <c:v>28</c:v>
                </c:pt>
                <c:pt idx="855">
                  <c:v>32</c:v>
                </c:pt>
                <c:pt idx="856">
                  <c:v>18</c:v>
                </c:pt>
                <c:pt idx="857">
                  <c:v>24</c:v>
                </c:pt>
                <c:pt idx="858">
                  <c:v>8</c:v>
                </c:pt>
                <c:pt idx="859">
                  <c:v>19</c:v>
                </c:pt>
                <c:pt idx="860">
                  <c:v>11</c:v>
                </c:pt>
                <c:pt idx="861">
                  <c:v>9</c:v>
                </c:pt>
                <c:pt idx="862">
                  <c:v>5</c:v>
                </c:pt>
                <c:pt idx="863">
                  <c:v>24</c:v>
                </c:pt>
                <c:pt idx="864">
                  <c:v>6</c:v>
                </c:pt>
                <c:pt idx="865">
                  <c:v>10</c:v>
                </c:pt>
                <c:pt idx="866">
                  <c:v>2</c:v>
                </c:pt>
                <c:pt idx="867">
                  <c:v>7</c:v>
                </c:pt>
                <c:pt idx="868">
                  <c:v>12</c:v>
                </c:pt>
                <c:pt idx="869">
                  <c:v>15</c:v>
                </c:pt>
                <c:pt idx="870">
                  <c:v>26</c:v>
                </c:pt>
                <c:pt idx="871">
                  <c:v>19</c:v>
                </c:pt>
                <c:pt idx="872">
                  <c:v>6</c:v>
                </c:pt>
                <c:pt idx="873">
                  <c:v>6</c:v>
                </c:pt>
                <c:pt idx="874">
                  <c:v>39</c:v>
                </c:pt>
                <c:pt idx="875">
                  <c:v>2</c:v>
                </c:pt>
                <c:pt idx="876">
                  <c:v>25</c:v>
                </c:pt>
                <c:pt idx="877">
                  <c:v>2</c:v>
                </c:pt>
                <c:pt idx="878">
                  <c:v>25</c:v>
                </c:pt>
                <c:pt idx="879">
                  <c:v>10</c:v>
                </c:pt>
                <c:pt idx="880">
                  <c:v>3</c:v>
                </c:pt>
                <c:pt idx="881">
                  <c:v>30</c:v>
                </c:pt>
                <c:pt idx="882">
                  <c:v>5</c:v>
                </c:pt>
                <c:pt idx="883">
                  <c:v>37</c:v>
                </c:pt>
                <c:pt idx="884">
                  <c:v>3</c:v>
                </c:pt>
                <c:pt idx="885">
                  <c:v>39</c:v>
                </c:pt>
                <c:pt idx="886">
                  <c:v>19</c:v>
                </c:pt>
                <c:pt idx="887">
                  <c:v>48</c:v>
                </c:pt>
                <c:pt idx="888">
                  <c:v>20</c:v>
                </c:pt>
                <c:pt idx="889">
                  <c:v>8</c:v>
                </c:pt>
                <c:pt idx="890">
                  <c:v>2</c:v>
                </c:pt>
                <c:pt idx="891">
                  <c:v>45</c:v>
                </c:pt>
                <c:pt idx="892">
                  <c:v>42</c:v>
                </c:pt>
                <c:pt idx="893">
                  <c:v>5</c:v>
                </c:pt>
                <c:pt idx="894">
                  <c:v>31</c:v>
                </c:pt>
                <c:pt idx="895">
                  <c:v>10</c:v>
                </c:pt>
                <c:pt idx="896">
                  <c:v>4</c:v>
                </c:pt>
                <c:pt idx="897">
                  <c:v>3</c:v>
                </c:pt>
                <c:pt idx="898">
                  <c:v>7</c:v>
                </c:pt>
                <c:pt idx="899">
                  <c:v>19</c:v>
                </c:pt>
                <c:pt idx="900">
                  <c:v>2</c:v>
                </c:pt>
                <c:pt idx="901">
                  <c:v>34</c:v>
                </c:pt>
                <c:pt idx="902">
                  <c:v>43</c:v>
                </c:pt>
                <c:pt idx="903">
                  <c:v>16</c:v>
                </c:pt>
                <c:pt idx="904">
                  <c:v>5</c:v>
                </c:pt>
                <c:pt idx="905">
                  <c:v>4</c:v>
                </c:pt>
                <c:pt idx="906">
                  <c:v>37</c:v>
                </c:pt>
                <c:pt idx="907">
                  <c:v>8</c:v>
                </c:pt>
                <c:pt idx="908">
                  <c:v>12</c:v>
                </c:pt>
                <c:pt idx="909">
                  <c:v>28</c:v>
                </c:pt>
                <c:pt idx="910">
                  <c:v>2</c:v>
                </c:pt>
                <c:pt idx="911">
                  <c:v>3</c:v>
                </c:pt>
                <c:pt idx="912">
                  <c:v>14</c:v>
                </c:pt>
                <c:pt idx="913">
                  <c:v>14</c:v>
                </c:pt>
                <c:pt idx="914">
                  <c:v>13</c:v>
                </c:pt>
                <c:pt idx="915">
                  <c:v>10</c:v>
                </c:pt>
                <c:pt idx="916">
                  <c:v>10</c:v>
                </c:pt>
                <c:pt idx="917">
                  <c:v>25</c:v>
                </c:pt>
                <c:pt idx="918">
                  <c:v>12</c:v>
                </c:pt>
                <c:pt idx="919">
                  <c:v>33</c:v>
                </c:pt>
                <c:pt idx="920">
                  <c:v>21</c:v>
                </c:pt>
                <c:pt idx="921">
                  <c:v>15</c:v>
                </c:pt>
                <c:pt idx="922">
                  <c:v>10</c:v>
                </c:pt>
                <c:pt idx="923">
                  <c:v>2</c:v>
                </c:pt>
                <c:pt idx="924">
                  <c:v>12</c:v>
                </c:pt>
                <c:pt idx="925">
                  <c:v>13</c:v>
                </c:pt>
                <c:pt idx="926">
                  <c:v>5</c:v>
                </c:pt>
                <c:pt idx="927">
                  <c:v>30</c:v>
                </c:pt>
                <c:pt idx="928">
                  <c:v>10</c:v>
                </c:pt>
                <c:pt idx="929">
                  <c:v>15</c:v>
                </c:pt>
                <c:pt idx="930">
                  <c:v>8</c:v>
                </c:pt>
                <c:pt idx="931">
                  <c:v>3</c:v>
                </c:pt>
                <c:pt idx="932">
                  <c:v>4</c:v>
                </c:pt>
                <c:pt idx="933">
                  <c:v>14</c:v>
                </c:pt>
                <c:pt idx="934">
                  <c:v>7</c:v>
                </c:pt>
                <c:pt idx="935">
                  <c:v>8</c:v>
                </c:pt>
                <c:pt idx="936">
                  <c:v>4</c:v>
                </c:pt>
                <c:pt idx="937">
                  <c:v>10</c:v>
                </c:pt>
                <c:pt idx="938">
                  <c:v>37</c:v>
                </c:pt>
                <c:pt idx="939">
                  <c:v>18</c:v>
                </c:pt>
                <c:pt idx="940">
                  <c:v>23</c:v>
                </c:pt>
                <c:pt idx="941">
                  <c:v>36</c:v>
                </c:pt>
                <c:pt idx="942">
                  <c:v>4</c:v>
                </c:pt>
                <c:pt idx="943">
                  <c:v>36</c:v>
                </c:pt>
                <c:pt idx="944">
                  <c:v>20</c:v>
                </c:pt>
                <c:pt idx="945">
                  <c:v>16</c:v>
                </c:pt>
                <c:pt idx="946">
                  <c:v>3</c:v>
                </c:pt>
                <c:pt idx="947">
                  <c:v>8</c:v>
                </c:pt>
                <c:pt idx="948">
                  <c:v>11</c:v>
                </c:pt>
                <c:pt idx="949">
                  <c:v>20</c:v>
                </c:pt>
                <c:pt idx="950">
                  <c:v>6</c:v>
                </c:pt>
                <c:pt idx="951">
                  <c:v>2</c:v>
                </c:pt>
                <c:pt idx="952">
                  <c:v>15</c:v>
                </c:pt>
                <c:pt idx="953">
                  <c:v>37</c:v>
                </c:pt>
                <c:pt idx="954">
                  <c:v>25</c:v>
                </c:pt>
                <c:pt idx="955">
                  <c:v>3</c:v>
                </c:pt>
                <c:pt idx="956">
                  <c:v>5</c:v>
                </c:pt>
                <c:pt idx="957">
                  <c:v>4</c:v>
                </c:pt>
                <c:pt idx="958">
                  <c:v>23</c:v>
                </c:pt>
                <c:pt idx="959">
                  <c:v>29</c:v>
                </c:pt>
                <c:pt idx="960">
                  <c:v>38</c:v>
                </c:pt>
                <c:pt idx="961">
                  <c:v>5</c:v>
                </c:pt>
                <c:pt idx="962">
                  <c:v>22</c:v>
                </c:pt>
                <c:pt idx="963">
                  <c:v>7</c:v>
                </c:pt>
                <c:pt idx="964">
                  <c:v>6</c:v>
                </c:pt>
                <c:pt idx="965">
                  <c:v>41</c:v>
                </c:pt>
                <c:pt idx="966">
                  <c:v>3</c:v>
                </c:pt>
                <c:pt idx="967">
                  <c:v>38</c:v>
                </c:pt>
                <c:pt idx="968">
                  <c:v>16</c:v>
                </c:pt>
                <c:pt idx="969">
                  <c:v>8</c:v>
                </c:pt>
                <c:pt idx="970">
                  <c:v>2</c:v>
                </c:pt>
                <c:pt idx="971">
                  <c:v>7</c:v>
                </c:pt>
                <c:pt idx="972">
                  <c:v>10</c:v>
                </c:pt>
                <c:pt idx="973">
                  <c:v>3</c:v>
                </c:pt>
                <c:pt idx="974">
                  <c:v>2</c:v>
                </c:pt>
                <c:pt idx="975">
                  <c:v>40</c:v>
                </c:pt>
                <c:pt idx="976">
                  <c:v>7</c:v>
                </c:pt>
                <c:pt idx="977">
                  <c:v>33</c:v>
                </c:pt>
                <c:pt idx="978">
                  <c:v>23</c:v>
                </c:pt>
                <c:pt idx="979">
                  <c:v>7</c:v>
                </c:pt>
                <c:pt idx="980">
                  <c:v>6</c:v>
                </c:pt>
                <c:pt idx="981">
                  <c:v>34</c:v>
                </c:pt>
                <c:pt idx="982">
                  <c:v>3</c:v>
                </c:pt>
                <c:pt idx="983">
                  <c:v>16</c:v>
                </c:pt>
                <c:pt idx="984">
                  <c:v>27</c:v>
                </c:pt>
                <c:pt idx="985">
                  <c:v>27</c:v>
                </c:pt>
                <c:pt idx="986">
                  <c:v>15</c:v>
                </c:pt>
                <c:pt idx="987">
                  <c:v>15</c:v>
                </c:pt>
                <c:pt idx="988">
                  <c:v>22</c:v>
                </c:pt>
                <c:pt idx="989">
                  <c:v>6</c:v>
                </c:pt>
                <c:pt idx="990">
                  <c:v>23</c:v>
                </c:pt>
                <c:pt idx="991">
                  <c:v>5</c:v>
                </c:pt>
                <c:pt idx="992">
                  <c:v>15</c:v>
                </c:pt>
                <c:pt idx="993">
                  <c:v>18</c:v>
                </c:pt>
                <c:pt idx="994">
                  <c:v>7</c:v>
                </c:pt>
                <c:pt idx="995">
                  <c:v>30</c:v>
                </c:pt>
                <c:pt idx="996">
                  <c:v>31</c:v>
                </c:pt>
                <c:pt idx="997">
                  <c:v>6</c:v>
                </c:pt>
                <c:pt idx="998">
                  <c:v>15</c:v>
                </c:pt>
                <c:pt idx="999">
                  <c:v>8</c:v>
                </c:pt>
              </c:numCache>
            </c:numRef>
          </c:xVal>
          <c:yVal>
            <c:numRef>
              <c:f>'Crowdfunding with calc columns'!$F:$F</c:f>
              <c:numCache>
                <c:formatCode>0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1040</c:v>
                </c:pt>
                <c:pt idx="3">
                  <c:v>131.47878228782287</c:v>
                </c:pt>
                <c:pt idx="4">
                  <c:v>58.976190476190474</c:v>
                </c:pt>
                <c:pt idx="5">
                  <c:v>69.276315789473685</c:v>
                </c:pt>
                <c:pt idx="6">
                  <c:v>173.61842105263159</c:v>
                </c:pt>
                <c:pt idx="7">
                  <c:v>20.96153846153846</c:v>
                </c:pt>
                <c:pt idx="8">
                  <c:v>327.57777777777778</c:v>
                </c:pt>
                <c:pt idx="9">
                  <c:v>19.932788374205266</c:v>
                </c:pt>
                <c:pt idx="10">
                  <c:v>51.741935483870968</c:v>
                </c:pt>
                <c:pt idx="11">
                  <c:v>266.11538461538464</c:v>
                </c:pt>
                <c:pt idx="12">
                  <c:v>48.095238095238095</c:v>
                </c:pt>
                <c:pt idx="13">
                  <c:v>89.349206349206355</c:v>
                </c:pt>
                <c:pt idx="14">
                  <c:v>245.11904761904762</c:v>
                </c:pt>
                <c:pt idx="15">
                  <c:v>66.769503546099287</c:v>
                </c:pt>
                <c:pt idx="16">
                  <c:v>47.307881773399018</c:v>
                </c:pt>
                <c:pt idx="17">
                  <c:v>649.47058823529414</c:v>
                </c:pt>
                <c:pt idx="18">
                  <c:v>159.39125295508273</c:v>
                </c:pt>
                <c:pt idx="19">
                  <c:v>66.912087912087912</c:v>
                </c:pt>
                <c:pt idx="20">
                  <c:v>48.529600000000002</c:v>
                </c:pt>
                <c:pt idx="21">
                  <c:v>112.24279210925646</c:v>
                </c:pt>
                <c:pt idx="22">
                  <c:v>40.992553191489364</c:v>
                </c:pt>
                <c:pt idx="23">
                  <c:v>128.07106598984771</c:v>
                </c:pt>
                <c:pt idx="24">
                  <c:v>332.04444444444442</c:v>
                </c:pt>
                <c:pt idx="25">
                  <c:v>112.83225108225108</c:v>
                </c:pt>
                <c:pt idx="26">
                  <c:v>216.43636363636364</c:v>
                </c:pt>
                <c:pt idx="27">
                  <c:v>48.199069767441863</c:v>
                </c:pt>
                <c:pt idx="28">
                  <c:v>79.95</c:v>
                </c:pt>
                <c:pt idx="29">
                  <c:v>105.22553516819572</c:v>
                </c:pt>
                <c:pt idx="30">
                  <c:v>328.89978213507624</c:v>
                </c:pt>
                <c:pt idx="31">
                  <c:v>160.61111111111111</c:v>
                </c:pt>
                <c:pt idx="32">
                  <c:v>310</c:v>
                </c:pt>
                <c:pt idx="33">
                  <c:v>86.807920792079202</c:v>
                </c:pt>
                <c:pt idx="34">
                  <c:v>377.82071713147411</c:v>
                </c:pt>
                <c:pt idx="35">
                  <c:v>150.80645161290323</c:v>
                </c:pt>
                <c:pt idx="36">
                  <c:v>150.30119521912351</c:v>
                </c:pt>
                <c:pt idx="37">
                  <c:v>157.28571428571428</c:v>
                </c:pt>
                <c:pt idx="38">
                  <c:v>139.98765432098764</c:v>
                </c:pt>
                <c:pt idx="39">
                  <c:v>325.32258064516128</c:v>
                </c:pt>
                <c:pt idx="40">
                  <c:v>50.777777777777779</c:v>
                </c:pt>
                <c:pt idx="41">
                  <c:v>169.06818181818181</c:v>
                </c:pt>
                <c:pt idx="42">
                  <c:v>212.92857142857142</c:v>
                </c:pt>
                <c:pt idx="43">
                  <c:v>443.94444444444446</c:v>
                </c:pt>
                <c:pt idx="44">
                  <c:v>185.9390243902439</c:v>
                </c:pt>
                <c:pt idx="45">
                  <c:v>658.8125</c:v>
                </c:pt>
                <c:pt idx="46">
                  <c:v>47.684210526315788</c:v>
                </c:pt>
                <c:pt idx="47">
                  <c:v>114.78378378378379</c:v>
                </c:pt>
                <c:pt idx="48">
                  <c:v>475.26666666666665</c:v>
                </c:pt>
                <c:pt idx="49">
                  <c:v>386.97297297297297</c:v>
                </c:pt>
                <c:pt idx="50">
                  <c:v>189.625</c:v>
                </c:pt>
                <c:pt idx="51">
                  <c:v>2</c:v>
                </c:pt>
                <c:pt idx="52">
                  <c:v>91.867805186590772</c:v>
                </c:pt>
                <c:pt idx="53">
                  <c:v>34.152777777777779</c:v>
                </c:pt>
                <c:pt idx="54">
                  <c:v>140.40909090909091</c:v>
                </c:pt>
                <c:pt idx="55">
                  <c:v>89.86666666666666</c:v>
                </c:pt>
                <c:pt idx="56">
                  <c:v>177.96969696969697</c:v>
                </c:pt>
                <c:pt idx="57">
                  <c:v>143.66249999999999</c:v>
                </c:pt>
                <c:pt idx="58">
                  <c:v>215.27586206896552</c:v>
                </c:pt>
                <c:pt idx="59">
                  <c:v>227.11111111111111</c:v>
                </c:pt>
                <c:pt idx="60">
                  <c:v>275.07142857142856</c:v>
                </c:pt>
                <c:pt idx="61">
                  <c:v>144.37048832271762</c:v>
                </c:pt>
                <c:pt idx="62">
                  <c:v>92.74598393574297</c:v>
                </c:pt>
                <c:pt idx="63">
                  <c:v>722.6</c:v>
                </c:pt>
                <c:pt idx="64">
                  <c:v>11.851063829787234</c:v>
                </c:pt>
                <c:pt idx="65">
                  <c:v>97.642857142857139</c:v>
                </c:pt>
                <c:pt idx="66">
                  <c:v>236.14754098360655</c:v>
                </c:pt>
                <c:pt idx="67">
                  <c:v>45.068965517241381</c:v>
                </c:pt>
                <c:pt idx="68">
                  <c:v>162.38567493112947</c:v>
                </c:pt>
                <c:pt idx="69">
                  <c:v>254.52631578947367</c:v>
                </c:pt>
                <c:pt idx="70">
                  <c:v>24.063291139240505</c:v>
                </c:pt>
                <c:pt idx="71">
                  <c:v>123.74140625</c:v>
                </c:pt>
                <c:pt idx="72">
                  <c:v>108.06666666666666</c:v>
                </c:pt>
                <c:pt idx="73">
                  <c:v>670.33333333333337</c:v>
                </c:pt>
                <c:pt idx="74">
                  <c:v>660.92857142857144</c:v>
                </c:pt>
                <c:pt idx="75">
                  <c:v>122.46153846153847</c:v>
                </c:pt>
                <c:pt idx="76">
                  <c:v>150.57731958762886</c:v>
                </c:pt>
                <c:pt idx="77">
                  <c:v>78.106590724165983</c:v>
                </c:pt>
                <c:pt idx="78">
                  <c:v>46.94736842105263</c:v>
                </c:pt>
                <c:pt idx="79">
                  <c:v>300.8</c:v>
                </c:pt>
                <c:pt idx="80">
                  <c:v>69.598615916955012</c:v>
                </c:pt>
                <c:pt idx="81">
                  <c:v>637.4545454545455</c:v>
                </c:pt>
                <c:pt idx="82">
                  <c:v>225.33928571428572</c:v>
                </c:pt>
                <c:pt idx="83">
                  <c:v>1497.3</c:v>
                </c:pt>
                <c:pt idx="84">
                  <c:v>37.590225563909776</c:v>
                </c:pt>
                <c:pt idx="85">
                  <c:v>132.36942675159236</c:v>
                </c:pt>
                <c:pt idx="86">
                  <c:v>131.22448979591837</c:v>
                </c:pt>
                <c:pt idx="87">
                  <c:v>167.63513513513513</c:v>
                </c:pt>
                <c:pt idx="88">
                  <c:v>61.984886649874056</c:v>
                </c:pt>
                <c:pt idx="89">
                  <c:v>260.75</c:v>
                </c:pt>
                <c:pt idx="90">
                  <c:v>252.58823529411765</c:v>
                </c:pt>
                <c:pt idx="91">
                  <c:v>78.615384615384613</c:v>
                </c:pt>
                <c:pt idx="92">
                  <c:v>48.404406999351913</c:v>
                </c:pt>
                <c:pt idx="93">
                  <c:v>258.875</c:v>
                </c:pt>
                <c:pt idx="94">
                  <c:v>60.548713235294116</c:v>
                </c:pt>
                <c:pt idx="95">
                  <c:v>303.68965517241378</c:v>
                </c:pt>
                <c:pt idx="96">
                  <c:v>113</c:v>
                </c:pt>
                <c:pt idx="97">
                  <c:v>217.37876614060258</c:v>
                </c:pt>
                <c:pt idx="98">
                  <c:v>926.69230769230774</c:v>
                </c:pt>
                <c:pt idx="99">
                  <c:v>33.692229038854805</c:v>
                </c:pt>
                <c:pt idx="100">
                  <c:v>196.72368421052633</c:v>
                </c:pt>
                <c:pt idx="101">
                  <c:v>1</c:v>
                </c:pt>
                <c:pt idx="102">
                  <c:v>1021.4444444444445</c:v>
                </c:pt>
                <c:pt idx="103">
                  <c:v>281.67567567567568</c:v>
                </c:pt>
                <c:pt idx="104">
                  <c:v>24.61</c:v>
                </c:pt>
                <c:pt idx="105">
                  <c:v>143.14010067114094</c:v>
                </c:pt>
                <c:pt idx="106">
                  <c:v>144.54411764705881</c:v>
                </c:pt>
                <c:pt idx="107">
                  <c:v>359.12820512820514</c:v>
                </c:pt>
                <c:pt idx="108">
                  <c:v>186.48571428571429</c:v>
                </c:pt>
                <c:pt idx="109">
                  <c:v>595.26666666666665</c:v>
                </c:pt>
                <c:pt idx="110">
                  <c:v>59.21153846153846</c:v>
                </c:pt>
                <c:pt idx="111">
                  <c:v>14.962780898876405</c:v>
                </c:pt>
                <c:pt idx="112">
                  <c:v>119.95602605863192</c:v>
                </c:pt>
                <c:pt idx="113">
                  <c:v>268.82978723404256</c:v>
                </c:pt>
                <c:pt idx="114">
                  <c:v>376.87878787878788</c:v>
                </c:pt>
                <c:pt idx="115">
                  <c:v>727.15789473684208</c:v>
                </c:pt>
                <c:pt idx="116">
                  <c:v>87.211757648470311</c:v>
                </c:pt>
                <c:pt idx="117">
                  <c:v>88</c:v>
                </c:pt>
                <c:pt idx="118">
                  <c:v>173.9387755102041</c:v>
                </c:pt>
                <c:pt idx="119">
                  <c:v>117.61111111111111</c:v>
                </c:pt>
                <c:pt idx="120">
                  <c:v>214.96</c:v>
                </c:pt>
                <c:pt idx="121">
                  <c:v>149.49667110519309</c:v>
                </c:pt>
                <c:pt idx="122">
                  <c:v>219.33995584988963</c:v>
                </c:pt>
                <c:pt idx="123">
                  <c:v>64.367690058479539</c:v>
                </c:pt>
                <c:pt idx="124">
                  <c:v>18.622397298818232</c:v>
                </c:pt>
                <c:pt idx="125">
                  <c:v>367.76923076923077</c:v>
                </c:pt>
                <c:pt idx="126">
                  <c:v>159.90566037735849</c:v>
                </c:pt>
                <c:pt idx="127">
                  <c:v>38.633185349611544</c:v>
                </c:pt>
                <c:pt idx="128">
                  <c:v>51.421511627906973</c:v>
                </c:pt>
                <c:pt idx="129">
                  <c:v>60.334277620396598</c:v>
                </c:pt>
                <c:pt idx="130">
                  <c:v>3.2026936026936026</c:v>
                </c:pt>
                <c:pt idx="131">
                  <c:v>155.46875</c:v>
                </c:pt>
                <c:pt idx="132">
                  <c:v>100.85974499089254</c:v>
                </c:pt>
                <c:pt idx="133">
                  <c:v>116.18181818181819</c:v>
                </c:pt>
                <c:pt idx="134">
                  <c:v>310.77777777777777</c:v>
                </c:pt>
                <c:pt idx="135">
                  <c:v>89.73668341708543</c:v>
                </c:pt>
                <c:pt idx="136">
                  <c:v>71.272727272727266</c:v>
                </c:pt>
                <c:pt idx="137">
                  <c:v>3.2862318840579712</c:v>
                </c:pt>
                <c:pt idx="138">
                  <c:v>261.77777777777777</c:v>
                </c:pt>
                <c:pt idx="139">
                  <c:v>96</c:v>
                </c:pt>
                <c:pt idx="140">
                  <c:v>20.896851248642779</c:v>
                </c:pt>
                <c:pt idx="141">
                  <c:v>223.16363636363636</c:v>
                </c:pt>
                <c:pt idx="142">
                  <c:v>101.59097978227061</c:v>
                </c:pt>
                <c:pt idx="143">
                  <c:v>230.04</c:v>
                </c:pt>
                <c:pt idx="144">
                  <c:v>135.59259259259258</c:v>
                </c:pt>
                <c:pt idx="145">
                  <c:v>129.1</c:v>
                </c:pt>
                <c:pt idx="146">
                  <c:v>236.512</c:v>
                </c:pt>
                <c:pt idx="147">
                  <c:v>17.25</c:v>
                </c:pt>
                <c:pt idx="148">
                  <c:v>112.49397590361446</c:v>
                </c:pt>
                <c:pt idx="149">
                  <c:v>121.02150537634408</c:v>
                </c:pt>
                <c:pt idx="150">
                  <c:v>219.87096774193549</c:v>
                </c:pt>
                <c:pt idx="151">
                  <c:v>1</c:v>
                </c:pt>
                <c:pt idx="152">
                  <c:v>64.166909620991248</c:v>
                </c:pt>
                <c:pt idx="153">
                  <c:v>423.06746987951806</c:v>
                </c:pt>
                <c:pt idx="154">
                  <c:v>92.984160506863773</c:v>
                </c:pt>
                <c:pt idx="155">
                  <c:v>58.75656742556918</c:v>
                </c:pt>
                <c:pt idx="156">
                  <c:v>65.022222222222226</c:v>
                </c:pt>
                <c:pt idx="157">
                  <c:v>73.939560439560438</c:v>
                </c:pt>
                <c:pt idx="158">
                  <c:v>52.666666666666664</c:v>
                </c:pt>
                <c:pt idx="159">
                  <c:v>220.95238095238096</c:v>
                </c:pt>
                <c:pt idx="160">
                  <c:v>100.01150627615063</c:v>
                </c:pt>
                <c:pt idx="161">
                  <c:v>162.3125</c:v>
                </c:pt>
                <c:pt idx="162">
                  <c:v>78.181818181818187</c:v>
                </c:pt>
                <c:pt idx="163">
                  <c:v>149.73770491803279</c:v>
                </c:pt>
                <c:pt idx="164">
                  <c:v>253.25714285714287</c:v>
                </c:pt>
                <c:pt idx="165">
                  <c:v>100.16943521594685</c:v>
                </c:pt>
                <c:pt idx="166">
                  <c:v>121.99004424778761</c:v>
                </c:pt>
                <c:pt idx="167">
                  <c:v>137.13265306122449</c:v>
                </c:pt>
                <c:pt idx="168">
                  <c:v>415.53846153846155</c:v>
                </c:pt>
                <c:pt idx="169">
                  <c:v>31.30913348946136</c:v>
                </c:pt>
                <c:pt idx="170">
                  <c:v>424.08154506437768</c:v>
                </c:pt>
                <c:pt idx="171">
                  <c:v>2.93886230728336</c:v>
                </c:pt>
                <c:pt idx="172">
                  <c:v>10.63265306122449</c:v>
                </c:pt>
                <c:pt idx="173">
                  <c:v>82.875</c:v>
                </c:pt>
                <c:pt idx="174">
                  <c:v>163.01447776628748</c:v>
                </c:pt>
                <c:pt idx="175">
                  <c:v>894.66666666666663</c:v>
                </c:pt>
                <c:pt idx="176">
                  <c:v>26.19150110375276</c:v>
                </c:pt>
                <c:pt idx="177">
                  <c:v>74.834782608695647</c:v>
                </c:pt>
                <c:pt idx="178">
                  <c:v>416.47680412371136</c:v>
                </c:pt>
                <c:pt idx="179">
                  <c:v>96.208333333333329</c:v>
                </c:pt>
                <c:pt idx="180">
                  <c:v>357.71910112359552</c:v>
                </c:pt>
                <c:pt idx="181">
                  <c:v>308.45714285714286</c:v>
                </c:pt>
                <c:pt idx="182">
                  <c:v>61.802325581395351</c:v>
                </c:pt>
                <c:pt idx="183">
                  <c:v>722.32472324723244</c:v>
                </c:pt>
                <c:pt idx="184">
                  <c:v>69.117647058823536</c:v>
                </c:pt>
                <c:pt idx="185">
                  <c:v>293.05555555555554</c:v>
                </c:pt>
                <c:pt idx="186">
                  <c:v>71.8</c:v>
                </c:pt>
                <c:pt idx="187">
                  <c:v>31.934684684684683</c:v>
                </c:pt>
                <c:pt idx="188">
                  <c:v>229.87375415282392</c:v>
                </c:pt>
                <c:pt idx="189">
                  <c:v>32.012195121951223</c:v>
                </c:pt>
                <c:pt idx="190">
                  <c:v>23.525352848928385</c:v>
                </c:pt>
                <c:pt idx="191">
                  <c:v>68.594594594594597</c:v>
                </c:pt>
                <c:pt idx="192">
                  <c:v>37.952380952380949</c:v>
                </c:pt>
                <c:pt idx="193">
                  <c:v>19.992957746478872</c:v>
                </c:pt>
                <c:pt idx="194">
                  <c:v>45.636363636363633</c:v>
                </c:pt>
                <c:pt idx="195">
                  <c:v>122.7605633802817</c:v>
                </c:pt>
                <c:pt idx="196">
                  <c:v>361.75316455696202</c:v>
                </c:pt>
                <c:pt idx="197">
                  <c:v>63.146341463414636</c:v>
                </c:pt>
                <c:pt idx="198">
                  <c:v>298.20475319926874</c:v>
                </c:pt>
                <c:pt idx="199">
                  <c:v>9.5585443037974684</c:v>
                </c:pt>
                <c:pt idx="200">
                  <c:v>53.777777777777779</c:v>
                </c:pt>
                <c:pt idx="201">
                  <c:v>2</c:v>
                </c:pt>
                <c:pt idx="202">
                  <c:v>681.19047619047615</c:v>
                </c:pt>
                <c:pt idx="203">
                  <c:v>78.831325301204814</c:v>
                </c:pt>
                <c:pt idx="204">
                  <c:v>134.40792216817235</c:v>
                </c:pt>
                <c:pt idx="205">
                  <c:v>3.3719999999999999</c:v>
                </c:pt>
                <c:pt idx="206">
                  <c:v>431.84615384615387</c:v>
                </c:pt>
                <c:pt idx="207">
                  <c:v>38.844444444444441</c:v>
                </c:pt>
                <c:pt idx="208">
                  <c:v>425.7</c:v>
                </c:pt>
                <c:pt idx="209">
                  <c:v>101.12239715591672</c:v>
                </c:pt>
                <c:pt idx="210">
                  <c:v>21.188688946015425</c:v>
                </c:pt>
                <c:pt idx="211">
                  <c:v>67.425531914893611</c:v>
                </c:pt>
                <c:pt idx="212">
                  <c:v>94.923371647509583</c:v>
                </c:pt>
                <c:pt idx="213">
                  <c:v>151.85185185185185</c:v>
                </c:pt>
                <c:pt idx="214">
                  <c:v>195.16382252559728</c:v>
                </c:pt>
                <c:pt idx="215">
                  <c:v>1023.1428571428571</c:v>
                </c:pt>
                <c:pt idx="216">
                  <c:v>3.8418367346938775</c:v>
                </c:pt>
                <c:pt idx="217">
                  <c:v>155.0706655710764</c:v>
                </c:pt>
                <c:pt idx="218">
                  <c:v>44.753477588871718</c:v>
                </c:pt>
                <c:pt idx="219">
                  <c:v>215.94736842105263</c:v>
                </c:pt>
                <c:pt idx="220">
                  <c:v>332.12709832134294</c:v>
                </c:pt>
                <c:pt idx="221">
                  <c:v>8.4430379746835449</c:v>
                </c:pt>
                <c:pt idx="222">
                  <c:v>98.625514403292186</c:v>
                </c:pt>
                <c:pt idx="223">
                  <c:v>137.97916666666666</c:v>
                </c:pt>
                <c:pt idx="224">
                  <c:v>93.81099656357388</c:v>
                </c:pt>
                <c:pt idx="225">
                  <c:v>403.63930885529157</c:v>
                </c:pt>
                <c:pt idx="226">
                  <c:v>260.1740412979351</c:v>
                </c:pt>
                <c:pt idx="227">
                  <c:v>366.63333333333333</c:v>
                </c:pt>
                <c:pt idx="228">
                  <c:v>168.72085385878489</c:v>
                </c:pt>
                <c:pt idx="229">
                  <c:v>119.90717911530095</c:v>
                </c:pt>
                <c:pt idx="230">
                  <c:v>193.68925233644859</c:v>
                </c:pt>
                <c:pt idx="231">
                  <c:v>420.16666666666669</c:v>
                </c:pt>
                <c:pt idx="232">
                  <c:v>76.708333333333329</c:v>
                </c:pt>
                <c:pt idx="233">
                  <c:v>171.26470588235293</c:v>
                </c:pt>
                <c:pt idx="234">
                  <c:v>157.89473684210526</c:v>
                </c:pt>
                <c:pt idx="235">
                  <c:v>109.08</c:v>
                </c:pt>
                <c:pt idx="236">
                  <c:v>41.732558139534881</c:v>
                </c:pt>
                <c:pt idx="237">
                  <c:v>10.944303797468354</c:v>
                </c:pt>
                <c:pt idx="238">
                  <c:v>159.3763440860215</c:v>
                </c:pt>
                <c:pt idx="239">
                  <c:v>422.41666666666669</c:v>
                </c:pt>
                <c:pt idx="240">
                  <c:v>97.71875</c:v>
                </c:pt>
                <c:pt idx="241">
                  <c:v>418.78911564625849</c:v>
                </c:pt>
                <c:pt idx="242">
                  <c:v>101.91632047477745</c:v>
                </c:pt>
                <c:pt idx="243">
                  <c:v>127.72619047619048</c:v>
                </c:pt>
                <c:pt idx="244">
                  <c:v>445.21739130434781</c:v>
                </c:pt>
                <c:pt idx="245">
                  <c:v>569.71428571428567</c:v>
                </c:pt>
                <c:pt idx="246">
                  <c:v>509.34482758620692</c:v>
                </c:pt>
                <c:pt idx="247">
                  <c:v>325.53333333333336</c:v>
                </c:pt>
                <c:pt idx="248">
                  <c:v>932.61616161616166</c:v>
                </c:pt>
                <c:pt idx="249">
                  <c:v>211.33870967741936</c:v>
                </c:pt>
                <c:pt idx="250">
                  <c:v>273.32520325203251</c:v>
                </c:pt>
                <c:pt idx="251">
                  <c:v>3</c:v>
                </c:pt>
                <c:pt idx="252">
                  <c:v>54.08450704225352</c:v>
                </c:pt>
                <c:pt idx="253">
                  <c:v>626.29999999999995</c:v>
                </c:pt>
                <c:pt idx="254">
                  <c:v>89.021399176954731</c:v>
                </c:pt>
                <c:pt idx="255">
                  <c:v>184.89130434782609</c:v>
                </c:pt>
                <c:pt idx="256">
                  <c:v>120.16770186335404</c:v>
                </c:pt>
                <c:pt idx="257">
                  <c:v>23.390243902439025</c:v>
                </c:pt>
                <c:pt idx="258">
                  <c:v>146</c:v>
                </c:pt>
                <c:pt idx="259">
                  <c:v>268.48</c:v>
                </c:pt>
                <c:pt idx="260">
                  <c:v>597.5</c:v>
                </c:pt>
                <c:pt idx="261">
                  <c:v>157.69841269841271</c:v>
                </c:pt>
                <c:pt idx="262">
                  <c:v>31.201660735468565</c:v>
                </c:pt>
                <c:pt idx="263">
                  <c:v>313.41176470588238</c:v>
                </c:pt>
                <c:pt idx="264">
                  <c:v>370.89655172413791</c:v>
                </c:pt>
                <c:pt idx="265">
                  <c:v>362.66447368421052</c:v>
                </c:pt>
                <c:pt idx="266">
                  <c:v>123.08163265306122</c:v>
                </c:pt>
                <c:pt idx="267">
                  <c:v>76.766756032171585</c:v>
                </c:pt>
                <c:pt idx="268">
                  <c:v>233.62012987012986</c:v>
                </c:pt>
                <c:pt idx="269">
                  <c:v>180.53333333333333</c:v>
                </c:pt>
                <c:pt idx="270">
                  <c:v>252.62857142857143</c:v>
                </c:pt>
                <c:pt idx="271">
                  <c:v>27.176538240368028</c:v>
                </c:pt>
                <c:pt idx="272">
                  <c:v>1.2706571242680547</c:v>
                </c:pt>
                <c:pt idx="273">
                  <c:v>304.00978473581216</c:v>
                </c:pt>
                <c:pt idx="274">
                  <c:v>137.23076923076923</c:v>
                </c:pt>
                <c:pt idx="275">
                  <c:v>32.208333333333336</c:v>
                </c:pt>
                <c:pt idx="276">
                  <c:v>241.51282051282053</c:v>
                </c:pt>
                <c:pt idx="277">
                  <c:v>96.8</c:v>
                </c:pt>
                <c:pt idx="278">
                  <c:v>1066.4285714285713</c:v>
                </c:pt>
                <c:pt idx="279">
                  <c:v>325.88888888888891</c:v>
                </c:pt>
                <c:pt idx="280">
                  <c:v>170.7</c:v>
                </c:pt>
                <c:pt idx="281">
                  <c:v>581.44000000000005</c:v>
                </c:pt>
                <c:pt idx="282">
                  <c:v>91.520972644376897</c:v>
                </c:pt>
                <c:pt idx="283">
                  <c:v>108.04761904761905</c:v>
                </c:pt>
                <c:pt idx="284">
                  <c:v>18.728395061728396</c:v>
                </c:pt>
                <c:pt idx="285">
                  <c:v>83.193877551020407</c:v>
                </c:pt>
                <c:pt idx="286">
                  <c:v>706.33333333333337</c:v>
                </c:pt>
                <c:pt idx="287">
                  <c:v>17.446030330062445</c:v>
                </c:pt>
                <c:pt idx="288">
                  <c:v>209.73015873015873</c:v>
                </c:pt>
                <c:pt idx="289">
                  <c:v>97.785714285714292</c:v>
                </c:pt>
                <c:pt idx="290">
                  <c:v>1684.25</c:v>
                </c:pt>
                <c:pt idx="291">
                  <c:v>54.402135231316727</c:v>
                </c:pt>
                <c:pt idx="292">
                  <c:v>456.61111111111109</c:v>
                </c:pt>
                <c:pt idx="293">
                  <c:v>9.8219178082191778</c:v>
                </c:pt>
                <c:pt idx="294">
                  <c:v>16.384615384615383</c:v>
                </c:pt>
                <c:pt idx="295">
                  <c:v>1339.6666666666667</c:v>
                </c:pt>
                <c:pt idx="296">
                  <c:v>35.650077760497666</c:v>
                </c:pt>
                <c:pt idx="297">
                  <c:v>54.950819672131146</c:v>
                </c:pt>
                <c:pt idx="298">
                  <c:v>94.236111111111114</c:v>
                </c:pt>
                <c:pt idx="299">
                  <c:v>143.91428571428571</c:v>
                </c:pt>
                <c:pt idx="300">
                  <c:v>51.421052631578945</c:v>
                </c:pt>
                <c:pt idx="301">
                  <c:v>5</c:v>
                </c:pt>
                <c:pt idx="302">
                  <c:v>1344.6666666666667</c:v>
                </c:pt>
                <c:pt idx="303">
                  <c:v>31.844940867279895</c:v>
                </c:pt>
                <c:pt idx="304">
                  <c:v>82.617647058823536</c:v>
                </c:pt>
                <c:pt idx="305">
                  <c:v>546.14285714285711</c:v>
                </c:pt>
                <c:pt idx="306">
                  <c:v>286.21428571428572</c:v>
                </c:pt>
                <c:pt idx="307">
                  <c:v>7.907692307692308</c:v>
                </c:pt>
                <c:pt idx="308">
                  <c:v>132.13677811550153</c:v>
                </c:pt>
                <c:pt idx="309">
                  <c:v>74.077834179357026</c:v>
                </c:pt>
                <c:pt idx="310">
                  <c:v>75.292682926829272</c:v>
                </c:pt>
                <c:pt idx="311">
                  <c:v>20.333333333333332</c:v>
                </c:pt>
                <c:pt idx="312">
                  <c:v>203.36507936507937</c:v>
                </c:pt>
                <c:pt idx="313">
                  <c:v>310.2284263959391</c:v>
                </c:pt>
                <c:pt idx="314">
                  <c:v>395.31818181818181</c:v>
                </c:pt>
                <c:pt idx="315">
                  <c:v>294.71428571428572</c:v>
                </c:pt>
                <c:pt idx="316">
                  <c:v>33.89473684210526</c:v>
                </c:pt>
                <c:pt idx="317">
                  <c:v>66.677083333333329</c:v>
                </c:pt>
                <c:pt idx="318">
                  <c:v>19.227272727272727</c:v>
                </c:pt>
                <c:pt idx="319">
                  <c:v>15.842105263157896</c:v>
                </c:pt>
                <c:pt idx="320">
                  <c:v>38.702380952380949</c:v>
                </c:pt>
                <c:pt idx="321">
                  <c:v>9.5876777251184837</c:v>
                </c:pt>
                <c:pt idx="322">
                  <c:v>94.144366197183103</c:v>
                </c:pt>
                <c:pt idx="323">
                  <c:v>166.56234096692111</c:v>
                </c:pt>
                <c:pt idx="324">
                  <c:v>24.134831460674157</c:v>
                </c:pt>
                <c:pt idx="325">
                  <c:v>164.05633802816902</c:v>
                </c:pt>
                <c:pt idx="326">
                  <c:v>90.723076923076917</c:v>
                </c:pt>
                <c:pt idx="327">
                  <c:v>46.194444444444443</c:v>
                </c:pt>
                <c:pt idx="328">
                  <c:v>38.53846153846154</c:v>
                </c:pt>
                <c:pt idx="329">
                  <c:v>133.56231003039514</c:v>
                </c:pt>
                <c:pt idx="330">
                  <c:v>22.896588486140725</c:v>
                </c:pt>
                <c:pt idx="331">
                  <c:v>184.95548961424333</c:v>
                </c:pt>
                <c:pt idx="332">
                  <c:v>443.72727272727275</c:v>
                </c:pt>
                <c:pt idx="333">
                  <c:v>199.98067632850243</c:v>
                </c:pt>
                <c:pt idx="334">
                  <c:v>123.95833333333333</c:v>
                </c:pt>
                <c:pt idx="335">
                  <c:v>186.61329305135951</c:v>
                </c:pt>
                <c:pt idx="336">
                  <c:v>114.28538550057537</c:v>
                </c:pt>
                <c:pt idx="337">
                  <c:v>97.032531824611027</c:v>
                </c:pt>
                <c:pt idx="338">
                  <c:v>122.81904761904762</c:v>
                </c:pt>
                <c:pt idx="339">
                  <c:v>179.14326647564471</c:v>
                </c:pt>
                <c:pt idx="340">
                  <c:v>79.951577402787962</c:v>
                </c:pt>
                <c:pt idx="341">
                  <c:v>94.242587601078171</c:v>
                </c:pt>
                <c:pt idx="342">
                  <c:v>84.669291338582681</c:v>
                </c:pt>
                <c:pt idx="343">
                  <c:v>66.521920668058456</c:v>
                </c:pt>
                <c:pt idx="344">
                  <c:v>53.922222222222224</c:v>
                </c:pt>
                <c:pt idx="345">
                  <c:v>41.983299595141702</c:v>
                </c:pt>
                <c:pt idx="346">
                  <c:v>14.694796954314722</c:v>
                </c:pt>
                <c:pt idx="347">
                  <c:v>34.475000000000001</c:v>
                </c:pt>
                <c:pt idx="348">
                  <c:v>1400.7777777777778</c:v>
                </c:pt>
                <c:pt idx="349">
                  <c:v>71.770351758793964</c:v>
                </c:pt>
                <c:pt idx="350">
                  <c:v>53.07411504424779</c:v>
                </c:pt>
                <c:pt idx="351">
                  <c:v>5</c:v>
                </c:pt>
                <c:pt idx="352">
                  <c:v>127.70715249662618</c:v>
                </c:pt>
                <c:pt idx="353">
                  <c:v>34.892857142857146</c:v>
                </c:pt>
                <c:pt idx="354">
                  <c:v>410.59821428571428</c:v>
                </c:pt>
                <c:pt idx="355">
                  <c:v>123.73770491803279</c:v>
                </c:pt>
                <c:pt idx="356">
                  <c:v>58.973684210526315</c:v>
                </c:pt>
                <c:pt idx="357">
                  <c:v>36.892473118279568</c:v>
                </c:pt>
                <c:pt idx="358">
                  <c:v>184.91304347826087</c:v>
                </c:pt>
                <c:pt idx="359">
                  <c:v>11.814432989690722</c:v>
                </c:pt>
                <c:pt idx="360">
                  <c:v>298.7</c:v>
                </c:pt>
                <c:pt idx="361">
                  <c:v>226.35175879396985</c:v>
                </c:pt>
                <c:pt idx="362">
                  <c:v>173.56363636363636</c:v>
                </c:pt>
                <c:pt idx="363">
                  <c:v>371.75675675675677</c:v>
                </c:pt>
                <c:pt idx="364">
                  <c:v>160.19230769230768</c:v>
                </c:pt>
                <c:pt idx="365">
                  <c:v>1616.3333333333333</c:v>
                </c:pt>
                <c:pt idx="366">
                  <c:v>733.4375</c:v>
                </c:pt>
                <c:pt idx="367">
                  <c:v>592.11111111111109</c:v>
                </c:pt>
                <c:pt idx="368">
                  <c:v>18.888888888888889</c:v>
                </c:pt>
                <c:pt idx="369">
                  <c:v>276.80769230769232</c:v>
                </c:pt>
                <c:pt idx="370">
                  <c:v>273.01851851851853</c:v>
                </c:pt>
                <c:pt idx="371">
                  <c:v>159.36331255565449</c:v>
                </c:pt>
                <c:pt idx="372">
                  <c:v>67.869978858350947</c:v>
                </c:pt>
                <c:pt idx="373">
                  <c:v>1591.5555555555557</c:v>
                </c:pt>
                <c:pt idx="374">
                  <c:v>730.18222222222221</c:v>
                </c:pt>
                <c:pt idx="375">
                  <c:v>13.185782556750299</c:v>
                </c:pt>
                <c:pt idx="376">
                  <c:v>54.777777777777779</c:v>
                </c:pt>
                <c:pt idx="377">
                  <c:v>361.02941176470586</c:v>
                </c:pt>
                <c:pt idx="378">
                  <c:v>10.257545271629779</c:v>
                </c:pt>
                <c:pt idx="379">
                  <c:v>13.962962962962964</c:v>
                </c:pt>
                <c:pt idx="380">
                  <c:v>40.444444444444443</c:v>
                </c:pt>
                <c:pt idx="381">
                  <c:v>160.32</c:v>
                </c:pt>
                <c:pt idx="382">
                  <c:v>183.9433962264151</c:v>
                </c:pt>
                <c:pt idx="383">
                  <c:v>63.769230769230766</c:v>
                </c:pt>
                <c:pt idx="384">
                  <c:v>225.38095238095238</c:v>
                </c:pt>
                <c:pt idx="385">
                  <c:v>172.00961538461539</c:v>
                </c:pt>
                <c:pt idx="386">
                  <c:v>146.16709511568124</c:v>
                </c:pt>
                <c:pt idx="387">
                  <c:v>76.42361623616236</c:v>
                </c:pt>
                <c:pt idx="388">
                  <c:v>39.261467889908253</c:v>
                </c:pt>
                <c:pt idx="389">
                  <c:v>11.270034843205575</c:v>
                </c:pt>
                <c:pt idx="390">
                  <c:v>122.11084337349398</c:v>
                </c:pt>
                <c:pt idx="391">
                  <c:v>186.54166666666666</c:v>
                </c:pt>
                <c:pt idx="392">
                  <c:v>7.2731788079470201</c:v>
                </c:pt>
                <c:pt idx="393">
                  <c:v>65.642371234207971</c:v>
                </c:pt>
                <c:pt idx="394">
                  <c:v>228.96178343949043</c:v>
                </c:pt>
                <c:pt idx="395">
                  <c:v>469.375</c:v>
                </c:pt>
                <c:pt idx="396">
                  <c:v>130.11267605633802</c:v>
                </c:pt>
                <c:pt idx="397">
                  <c:v>167.05422993492408</c:v>
                </c:pt>
                <c:pt idx="398">
                  <c:v>173.8641975308642</c:v>
                </c:pt>
                <c:pt idx="399">
                  <c:v>717.76470588235293</c:v>
                </c:pt>
                <c:pt idx="400">
                  <c:v>63.850976361767728</c:v>
                </c:pt>
                <c:pt idx="401">
                  <c:v>2</c:v>
                </c:pt>
                <c:pt idx="402">
                  <c:v>1530.2222222222222</c:v>
                </c:pt>
                <c:pt idx="403">
                  <c:v>40.356164383561641</c:v>
                </c:pt>
                <c:pt idx="404">
                  <c:v>86.220633299284984</c:v>
                </c:pt>
                <c:pt idx="405">
                  <c:v>315.58486707566465</c:v>
                </c:pt>
                <c:pt idx="406">
                  <c:v>89.618243243243242</c:v>
                </c:pt>
                <c:pt idx="407">
                  <c:v>182.14503816793894</c:v>
                </c:pt>
                <c:pt idx="408">
                  <c:v>355.88235294117646</c:v>
                </c:pt>
                <c:pt idx="409">
                  <c:v>131.83695652173913</c:v>
                </c:pt>
                <c:pt idx="410">
                  <c:v>46.315634218289084</c:v>
                </c:pt>
                <c:pt idx="411">
                  <c:v>36.132726089785294</c:v>
                </c:pt>
                <c:pt idx="412">
                  <c:v>104.62820512820512</c:v>
                </c:pt>
                <c:pt idx="413">
                  <c:v>668.85714285714289</c:v>
                </c:pt>
                <c:pt idx="414">
                  <c:v>62.072823218997364</c:v>
                </c:pt>
                <c:pt idx="415">
                  <c:v>84.699787460148784</c:v>
                </c:pt>
                <c:pt idx="416">
                  <c:v>11.059030837004405</c:v>
                </c:pt>
                <c:pt idx="417">
                  <c:v>43.838781575037146</c:v>
                </c:pt>
                <c:pt idx="418">
                  <c:v>55.470588235294116</c:v>
                </c:pt>
                <c:pt idx="419">
                  <c:v>57.399511301160658</c:v>
                </c:pt>
                <c:pt idx="420">
                  <c:v>123.43497363796133</c:v>
                </c:pt>
                <c:pt idx="421">
                  <c:v>128.46</c:v>
                </c:pt>
                <c:pt idx="422">
                  <c:v>63.98936170212766</c:v>
                </c:pt>
                <c:pt idx="423">
                  <c:v>127.29885057471265</c:v>
                </c:pt>
                <c:pt idx="424">
                  <c:v>10.638024357239512</c:v>
                </c:pt>
                <c:pt idx="425">
                  <c:v>40.470588235294116</c:v>
                </c:pt>
                <c:pt idx="426">
                  <c:v>287.66666666666669</c:v>
                </c:pt>
                <c:pt idx="427">
                  <c:v>572.94444444444446</c:v>
                </c:pt>
                <c:pt idx="428">
                  <c:v>112.90429799426934</c:v>
                </c:pt>
                <c:pt idx="429">
                  <c:v>46.387573964497044</c:v>
                </c:pt>
                <c:pt idx="430">
                  <c:v>90.675916230366497</c:v>
                </c:pt>
                <c:pt idx="431">
                  <c:v>67.740740740740748</c:v>
                </c:pt>
                <c:pt idx="432">
                  <c:v>192.49019607843138</c:v>
                </c:pt>
                <c:pt idx="433">
                  <c:v>82.714285714285708</c:v>
                </c:pt>
                <c:pt idx="434">
                  <c:v>54.163920922570014</c:v>
                </c:pt>
                <c:pt idx="435">
                  <c:v>16.722222222222221</c:v>
                </c:pt>
                <c:pt idx="436">
                  <c:v>116.87664041994751</c:v>
                </c:pt>
                <c:pt idx="437">
                  <c:v>1052.1538461538462</c:v>
                </c:pt>
                <c:pt idx="438">
                  <c:v>123.07407407407408</c:v>
                </c:pt>
                <c:pt idx="439">
                  <c:v>178.63855421686748</c:v>
                </c:pt>
                <c:pt idx="440">
                  <c:v>355.28169014084506</c:v>
                </c:pt>
                <c:pt idx="441">
                  <c:v>161.90634146341463</c:v>
                </c:pt>
                <c:pt idx="442">
                  <c:v>24.914285714285715</c:v>
                </c:pt>
                <c:pt idx="443">
                  <c:v>198.72222222222223</c:v>
                </c:pt>
                <c:pt idx="444">
                  <c:v>34.752688172043008</c:v>
                </c:pt>
                <c:pt idx="445">
                  <c:v>176.41935483870967</c:v>
                </c:pt>
                <c:pt idx="446">
                  <c:v>511.38095238095241</c:v>
                </c:pt>
                <c:pt idx="447">
                  <c:v>82.044117647058826</c:v>
                </c:pt>
                <c:pt idx="448">
                  <c:v>24.326030927835053</c:v>
                </c:pt>
                <c:pt idx="449">
                  <c:v>50.482758620689658</c:v>
                </c:pt>
                <c:pt idx="450">
                  <c:v>967</c:v>
                </c:pt>
                <c:pt idx="451">
                  <c:v>4</c:v>
                </c:pt>
                <c:pt idx="452">
                  <c:v>122.84501347708895</c:v>
                </c:pt>
                <c:pt idx="453">
                  <c:v>63.4375</c:v>
                </c:pt>
                <c:pt idx="454">
                  <c:v>56.331688596491226</c:v>
                </c:pt>
                <c:pt idx="455">
                  <c:v>44.075000000000003</c:v>
                </c:pt>
                <c:pt idx="456">
                  <c:v>118.37253218884121</c:v>
                </c:pt>
                <c:pt idx="457">
                  <c:v>104.1243169398907</c:v>
                </c:pt>
                <c:pt idx="458">
                  <c:v>26.64</c:v>
                </c:pt>
                <c:pt idx="459">
                  <c:v>351.20118343195264</c:v>
                </c:pt>
                <c:pt idx="460">
                  <c:v>90.063492063492063</c:v>
                </c:pt>
                <c:pt idx="461">
                  <c:v>171.625</c:v>
                </c:pt>
                <c:pt idx="462">
                  <c:v>141.04655870445345</c:v>
                </c:pt>
                <c:pt idx="463">
                  <c:v>30.579449152542374</c:v>
                </c:pt>
                <c:pt idx="464">
                  <c:v>108.16455696202532</c:v>
                </c:pt>
                <c:pt idx="465">
                  <c:v>133.45505617977528</c:v>
                </c:pt>
                <c:pt idx="466">
                  <c:v>187.85106382978722</c:v>
                </c:pt>
                <c:pt idx="467">
                  <c:v>332</c:v>
                </c:pt>
                <c:pt idx="468">
                  <c:v>575.21428571428567</c:v>
                </c:pt>
                <c:pt idx="469">
                  <c:v>40.5</c:v>
                </c:pt>
                <c:pt idx="470">
                  <c:v>184.42857142857142</c:v>
                </c:pt>
                <c:pt idx="471">
                  <c:v>285.80555555555554</c:v>
                </c:pt>
                <c:pt idx="472">
                  <c:v>319</c:v>
                </c:pt>
                <c:pt idx="473">
                  <c:v>39.234070221066318</c:v>
                </c:pt>
                <c:pt idx="474">
                  <c:v>178.14</c:v>
                </c:pt>
                <c:pt idx="475">
                  <c:v>365.15</c:v>
                </c:pt>
                <c:pt idx="476">
                  <c:v>113.94594594594595</c:v>
                </c:pt>
                <c:pt idx="477">
                  <c:v>29.828720626631853</c:v>
                </c:pt>
                <c:pt idx="478">
                  <c:v>54.27058823529412</c:v>
                </c:pt>
                <c:pt idx="479">
                  <c:v>236.34156976744185</c:v>
                </c:pt>
                <c:pt idx="480">
                  <c:v>512.91666666666663</c:v>
                </c:pt>
                <c:pt idx="481">
                  <c:v>100.65116279069767</c:v>
                </c:pt>
                <c:pt idx="482">
                  <c:v>81.348423194303152</c:v>
                </c:pt>
                <c:pt idx="483">
                  <c:v>16.404761904761905</c:v>
                </c:pt>
                <c:pt idx="484">
                  <c:v>52.774617067833695</c:v>
                </c:pt>
                <c:pt idx="485">
                  <c:v>260.20608108108109</c:v>
                </c:pt>
                <c:pt idx="486">
                  <c:v>30.73289183222958</c:v>
                </c:pt>
                <c:pt idx="487">
                  <c:v>13.5</c:v>
                </c:pt>
                <c:pt idx="488">
                  <c:v>178.62556663644605</c:v>
                </c:pt>
                <c:pt idx="489">
                  <c:v>220.0566037735849</c:v>
                </c:pt>
                <c:pt idx="490">
                  <c:v>101.51086956521739</c:v>
                </c:pt>
                <c:pt idx="491">
                  <c:v>191.5</c:v>
                </c:pt>
                <c:pt idx="492">
                  <c:v>305.34683098591552</c:v>
                </c:pt>
                <c:pt idx="493">
                  <c:v>23.995287958115185</c:v>
                </c:pt>
                <c:pt idx="494">
                  <c:v>723.77777777777783</c:v>
                </c:pt>
                <c:pt idx="495">
                  <c:v>547.36</c:v>
                </c:pt>
                <c:pt idx="496">
                  <c:v>414.5</c:v>
                </c:pt>
                <c:pt idx="497">
                  <c:v>0.90696409140369971</c:v>
                </c:pt>
                <c:pt idx="498">
                  <c:v>34.173469387755105</c:v>
                </c:pt>
                <c:pt idx="499">
                  <c:v>23.948810754912099</c:v>
                </c:pt>
                <c:pt idx="500">
                  <c:v>48.072649572649574</c:v>
                </c:pt>
                <c:pt idx="501">
                  <c:v>0</c:v>
                </c:pt>
                <c:pt idx="502">
                  <c:v>70.145182291666671</c:v>
                </c:pt>
                <c:pt idx="503">
                  <c:v>529.92307692307691</c:v>
                </c:pt>
                <c:pt idx="504">
                  <c:v>180.32549019607842</c:v>
                </c:pt>
                <c:pt idx="505">
                  <c:v>92.32</c:v>
                </c:pt>
                <c:pt idx="506">
                  <c:v>13.901001112347052</c:v>
                </c:pt>
                <c:pt idx="507">
                  <c:v>927.07777777777778</c:v>
                </c:pt>
                <c:pt idx="508">
                  <c:v>39.857142857142854</c:v>
                </c:pt>
                <c:pt idx="509">
                  <c:v>112.22929936305732</c:v>
                </c:pt>
                <c:pt idx="510">
                  <c:v>70.925816023738875</c:v>
                </c:pt>
                <c:pt idx="511">
                  <c:v>119.08974358974359</c:v>
                </c:pt>
                <c:pt idx="512">
                  <c:v>24.017591339648174</c:v>
                </c:pt>
                <c:pt idx="513">
                  <c:v>139.31868131868131</c:v>
                </c:pt>
                <c:pt idx="514">
                  <c:v>39.277108433734938</c:v>
                </c:pt>
                <c:pt idx="515">
                  <c:v>22.439077144917086</c:v>
                </c:pt>
                <c:pt idx="516">
                  <c:v>55.779069767441861</c:v>
                </c:pt>
                <c:pt idx="517">
                  <c:v>42.523125996810208</c:v>
                </c:pt>
                <c:pt idx="518">
                  <c:v>112</c:v>
                </c:pt>
                <c:pt idx="519">
                  <c:v>7.0681818181818183</c:v>
                </c:pt>
                <c:pt idx="520">
                  <c:v>101.74563871693866</c:v>
                </c:pt>
                <c:pt idx="521">
                  <c:v>425.75</c:v>
                </c:pt>
                <c:pt idx="522">
                  <c:v>145.53947368421052</c:v>
                </c:pt>
                <c:pt idx="523">
                  <c:v>32.453465346534657</c:v>
                </c:pt>
                <c:pt idx="524">
                  <c:v>700.33333333333337</c:v>
                </c:pt>
                <c:pt idx="525">
                  <c:v>83.904860392967947</c:v>
                </c:pt>
                <c:pt idx="526">
                  <c:v>84.19047619047619</c:v>
                </c:pt>
                <c:pt idx="527">
                  <c:v>155.95180722891567</c:v>
                </c:pt>
                <c:pt idx="528">
                  <c:v>99.619450317124731</c:v>
                </c:pt>
                <c:pt idx="529">
                  <c:v>80.3</c:v>
                </c:pt>
                <c:pt idx="530">
                  <c:v>11.254901960784315</c:v>
                </c:pt>
                <c:pt idx="531">
                  <c:v>91.740952380952379</c:v>
                </c:pt>
                <c:pt idx="532">
                  <c:v>95.521156936261377</c:v>
                </c:pt>
                <c:pt idx="533">
                  <c:v>502.875</c:v>
                </c:pt>
                <c:pt idx="534">
                  <c:v>159.24394463667821</c:v>
                </c:pt>
                <c:pt idx="535">
                  <c:v>15.022446689113355</c:v>
                </c:pt>
                <c:pt idx="536">
                  <c:v>482.03846153846155</c:v>
                </c:pt>
                <c:pt idx="537">
                  <c:v>149.96938775510205</c:v>
                </c:pt>
                <c:pt idx="538">
                  <c:v>117.22156398104265</c:v>
                </c:pt>
                <c:pt idx="539">
                  <c:v>37.695968274950431</c:v>
                </c:pt>
                <c:pt idx="540">
                  <c:v>72.65306122448979</c:v>
                </c:pt>
                <c:pt idx="541">
                  <c:v>265.98113207547169</c:v>
                </c:pt>
                <c:pt idx="542">
                  <c:v>24.205617977528089</c:v>
                </c:pt>
                <c:pt idx="543">
                  <c:v>2.5064935064935066</c:v>
                </c:pt>
                <c:pt idx="544">
                  <c:v>16.329799764428738</c:v>
                </c:pt>
                <c:pt idx="545">
                  <c:v>276.5</c:v>
                </c:pt>
                <c:pt idx="546">
                  <c:v>88.803571428571431</c:v>
                </c:pt>
                <c:pt idx="547">
                  <c:v>163.57142857142858</c:v>
                </c:pt>
                <c:pt idx="548">
                  <c:v>969</c:v>
                </c:pt>
                <c:pt idx="549">
                  <c:v>270.91376701966715</c:v>
                </c:pt>
                <c:pt idx="550">
                  <c:v>284.21355932203392</c:v>
                </c:pt>
                <c:pt idx="551">
                  <c:v>4</c:v>
                </c:pt>
                <c:pt idx="552">
                  <c:v>58.6329816768462</c:v>
                </c:pt>
                <c:pt idx="553">
                  <c:v>98.511111111111106</c:v>
                </c:pt>
                <c:pt idx="554">
                  <c:v>43.975381008206334</c:v>
                </c:pt>
                <c:pt idx="555">
                  <c:v>151.66315789473686</c:v>
                </c:pt>
                <c:pt idx="556">
                  <c:v>223.63492063492063</c:v>
                </c:pt>
                <c:pt idx="557">
                  <c:v>239.75</c:v>
                </c:pt>
                <c:pt idx="558">
                  <c:v>199.33333333333334</c:v>
                </c:pt>
                <c:pt idx="559">
                  <c:v>137.34482758620689</c:v>
                </c:pt>
                <c:pt idx="560">
                  <c:v>100.96961063627731</c:v>
                </c:pt>
                <c:pt idx="561">
                  <c:v>794.16</c:v>
                </c:pt>
                <c:pt idx="562">
                  <c:v>369.7</c:v>
                </c:pt>
                <c:pt idx="563">
                  <c:v>12.818181818181818</c:v>
                </c:pt>
                <c:pt idx="564">
                  <c:v>138.02702702702703</c:v>
                </c:pt>
                <c:pt idx="565">
                  <c:v>83.813278008298752</c:v>
                </c:pt>
                <c:pt idx="566">
                  <c:v>204.60063224446787</c:v>
                </c:pt>
                <c:pt idx="567">
                  <c:v>44.344086021505376</c:v>
                </c:pt>
                <c:pt idx="568">
                  <c:v>218.60294117647058</c:v>
                </c:pt>
                <c:pt idx="569">
                  <c:v>186.03314917127071</c:v>
                </c:pt>
                <c:pt idx="570">
                  <c:v>237.33830845771143</c:v>
                </c:pt>
                <c:pt idx="571">
                  <c:v>305.65384615384613</c:v>
                </c:pt>
                <c:pt idx="572">
                  <c:v>94.142857142857139</c:v>
                </c:pt>
                <c:pt idx="573">
                  <c:v>54.4</c:v>
                </c:pt>
                <c:pt idx="574">
                  <c:v>111.88059701492537</c:v>
                </c:pt>
                <c:pt idx="575">
                  <c:v>369.14814814814815</c:v>
                </c:pt>
                <c:pt idx="576">
                  <c:v>62.930372148859547</c:v>
                </c:pt>
                <c:pt idx="577">
                  <c:v>64.927835051546396</c:v>
                </c:pt>
                <c:pt idx="578">
                  <c:v>18.853658536585368</c:v>
                </c:pt>
                <c:pt idx="579">
                  <c:v>16.754404145077721</c:v>
                </c:pt>
                <c:pt idx="580">
                  <c:v>101.11290322580645</c:v>
                </c:pt>
                <c:pt idx="581">
                  <c:v>341.50228310502285</c:v>
                </c:pt>
                <c:pt idx="582">
                  <c:v>64.016666666666666</c:v>
                </c:pt>
                <c:pt idx="583">
                  <c:v>52.080459770114942</c:v>
                </c:pt>
                <c:pt idx="584">
                  <c:v>322.40211640211641</c:v>
                </c:pt>
                <c:pt idx="585">
                  <c:v>119.50810185185185</c:v>
                </c:pt>
                <c:pt idx="586">
                  <c:v>146.79775280898878</c:v>
                </c:pt>
                <c:pt idx="587">
                  <c:v>950.57142857142856</c:v>
                </c:pt>
                <c:pt idx="588">
                  <c:v>72.893617021276597</c:v>
                </c:pt>
                <c:pt idx="589">
                  <c:v>79.008248730964468</c:v>
                </c:pt>
                <c:pt idx="590">
                  <c:v>64.721518987341767</c:v>
                </c:pt>
                <c:pt idx="591">
                  <c:v>82.028169014084511</c:v>
                </c:pt>
                <c:pt idx="592">
                  <c:v>1037.6666666666667</c:v>
                </c:pt>
                <c:pt idx="593">
                  <c:v>12.910076530612244</c:v>
                </c:pt>
                <c:pt idx="594">
                  <c:v>154.84210526315789</c:v>
                </c:pt>
                <c:pt idx="595">
                  <c:v>7.0991735537190079</c:v>
                </c:pt>
                <c:pt idx="596">
                  <c:v>208.52773826458036</c:v>
                </c:pt>
                <c:pt idx="597">
                  <c:v>99.683544303797461</c:v>
                </c:pt>
                <c:pt idx="598">
                  <c:v>201.59756097560975</c:v>
                </c:pt>
                <c:pt idx="599">
                  <c:v>162.09032258064516</c:v>
                </c:pt>
                <c:pt idx="600">
                  <c:v>3.6436208125445475</c:v>
                </c:pt>
                <c:pt idx="601">
                  <c:v>5</c:v>
                </c:pt>
                <c:pt idx="602">
                  <c:v>206.63492063492063</c:v>
                </c:pt>
                <c:pt idx="603">
                  <c:v>128.23628691983123</c:v>
                </c:pt>
                <c:pt idx="604">
                  <c:v>119.66037735849056</c:v>
                </c:pt>
                <c:pt idx="605">
                  <c:v>170.73055242390078</c:v>
                </c:pt>
                <c:pt idx="606">
                  <c:v>187.21212121212122</c:v>
                </c:pt>
                <c:pt idx="607">
                  <c:v>188.38235294117646</c:v>
                </c:pt>
                <c:pt idx="608">
                  <c:v>131.29869186046511</c:v>
                </c:pt>
                <c:pt idx="609">
                  <c:v>283.97435897435895</c:v>
                </c:pt>
                <c:pt idx="610">
                  <c:v>120.42</c:v>
                </c:pt>
                <c:pt idx="611">
                  <c:v>419.05607476635515</c:v>
                </c:pt>
                <c:pt idx="612">
                  <c:v>13.853658536585366</c:v>
                </c:pt>
                <c:pt idx="613">
                  <c:v>139.43548387096774</c:v>
                </c:pt>
                <c:pt idx="614">
                  <c:v>174</c:v>
                </c:pt>
                <c:pt idx="615">
                  <c:v>155.49056603773585</c:v>
                </c:pt>
                <c:pt idx="616">
                  <c:v>170.4470588235294</c:v>
                </c:pt>
                <c:pt idx="617">
                  <c:v>189.515625</c:v>
                </c:pt>
                <c:pt idx="618">
                  <c:v>249.71428571428572</c:v>
                </c:pt>
                <c:pt idx="619">
                  <c:v>48.86052366565962</c:v>
                </c:pt>
                <c:pt idx="620">
                  <c:v>28.461970393057683</c:v>
                </c:pt>
                <c:pt idx="621">
                  <c:v>268.02325581395348</c:v>
                </c:pt>
                <c:pt idx="622">
                  <c:v>619.80078125</c:v>
                </c:pt>
                <c:pt idx="623">
                  <c:v>3.1301587301587301</c:v>
                </c:pt>
                <c:pt idx="624">
                  <c:v>159.92152704135736</c:v>
                </c:pt>
                <c:pt idx="625">
                  <c:v>279.39215686274508</c:v>
                </c:pt>
                <c:pt idx="626">
                  <c:v>77.373333333333335</c:v>
                </c:pt>
                <c:pt idx="627">
                  <c:v>206.328125</c:v>
                </c:pt>
                <c:pt idx="628">
                  <c:v>694.25</c:v>
                </c:pt>
                <c:pt idx="629">
                  <c:v>151.78947368421052</c:v>
                </c:pt>
                <c:pt idx="630">
                  <c:v>64.582072176949936</c:v>
                </c:pt>
                <c:pt idx="631">
                  <c:v>62.873684210526314</c:v>
                </c:pt>
                <c:pt idx="632">
                  <c:v>310.39864864864865</c:v>
                </c:pt>
                <c:pt idx="633">
                  <c:v>42.859916782246877</c:v>
                </c:pt>
                <c:pt idx="634">
                  <c:v>83.119402985074629</c:v>
                </c:pt>
                <c:pt idx="635">
                  <c:v>78.531302876480538</c:v>
                </c:pt>
                <c:pt idx="636">
                  <c:v>114.09352517985612</c:v>
                </c:pt>
                <c:pt idx="637">
                  <c:v>64.537683358624179</c:v>
                </c:pt>
                <c:pt idx="638">
                  <c:v>79.411764705882348</c:v>
                </c:pt>
                <c:pt idx="639">
                  <c:v>11.419117647058824</c:v>
                </c:pt>
                <c:pt idx="640">
                  <c:v>56.186046511627907</c:v>
                </c:pt>
                <c:pt idx="641">
                  <c:v>16.501669449081803</c:v>
                </c:pt>
                <c:pt idx="642">
                  <c:v>119.96808510638297</c:v>
                </c:pt>
                <c:pt idx="643">
                  <c:v>145.45652173913044</c:v>
                </c:pt>
                <c:pt idx="644">
                  <c:v>221.38255033557047</c:v>
                </c:pt>
                <c:pt idx="645">
                  <c:v>48.396694214876035</c:v>
                </c:pt>
                <c:pt idx="646">
                  <c:v>92.911504424778755</c:v>
                </c:pt>
                <c:pt idx="647">
                  <c:v>88.59979736575481</c:v>
                </c:pt>
                <c:pt idx="648">
                  <c:v>41.4</c:v>
                </c:pt>
                <c:pt idx="649">
                  <c:v>63.056795131845838</c:v>
                </c:pt>
                <c:pt idx="650">
                  <c:v>48.482333607230899</c:v>
                </c:pt>
                <c:pt idx="651">
                  <c:v>2</c:v>
                </c:pt>
                <c:pt idx="652">
                  <c:v>88.47941026944585</c:v>
                </c:pt>
                <c:pt idx="653">
                  <c:v>126.84</c:v>
                </c:pt>
                <c:pt idx="654">
                  <c:v>2338.8333333333335</c:v>
                </c:pt>
                <c:pt idx="655">
                  <c:v>508.38857142857142</c:v>
                </c:pt>
                <c:pt idx="656">
                  <c:v>191.47826086956522</c:v>
                </c:pt>
                <c:pt idx="657">
                  <c:v>42.127533783783782</c:v>
                </c:pt>
                <c:pt idx="658">
                  <c:v>8.24</c:v>
                </c:pt>
                <c:pt idx="659">
                  <c:v>60.064638783269963</c:v>
                </c:pt>
                <c:pt idx="660">
                  <c:v>47.232808616404306</c:v>
                </c:pt>
                <c:pt idx="661">
                  <c:v>81.736263736263737</c:v>
                </c:pt>
                <c:pt idx="662">
                  <c:v>54.187265917602993</c:v>
                </c:pt>
                <c:pt idx="663">
                  <c:v>97.868131868131869</c:v>
                </c:pt>
                <c:pt idx="664">
                  <c:v>77.239999999999995</c:v>
                </c:pt>
                <c:pt idx="665">
                  <c:v>33.464735516372798</c:v>
                </c:pt>
                <c:pt idx="666">
                  <c:v>239.58823529411765</c:v>
                </c:pt>
                <c:pt idx="667">
                  <c:v>64.032258064516128</c:v>
                </c:pt>
                <c:pt idx="668">
                  <c:v>176.15942028985506</c:v>
                </c:pt>
                <c:pt idx="669">
                  <c:v>20.33818181818182</c:v>
                </c:pt>
                <c:pt idx="670">
                  <c:v>358.64754098360658</c:v>
                </c:pt>
                <c:pt idx="671">
                  <c:v>468.85802469135803</c:v>
                </c:pt>
                <c:pt idx="672">
                  <c:v>122.0563524590164</c:v>
                </c:pt>
                <c:pt idx="673">
                  <c:v>55.931783729156137</c:v>
                </c:pt>
                <c:pt idx="674">
                  <c:v>43.660714285714285</c:v>
                </c:pt>
                <c:pt idx="675">
                  <c:v>33.538371411833623</c:v>
                </c:pt>
                <c:pt idx="676">
                  <c:v>122.97938144329896</c:v>
                </c:pt>
                <c:pt idx="677">
                  <c:v>189.74959871589084</c:v>
                </c:pt>
                <c:pt idx="678">
                  <c:v>83.622641509433961</c:v>
                </c:pt>
                <c:pt idx="679">
                  <c:v>17.968844221105527</c:v>
                </c:pt>
                <c:pt idx="680">
                  <c:v>1036.5</c:v>
                </c:pt>
                <c:pt idx="681">
                  <c:v>97.405219780219781</c:v>
                </c:pt>
                <c:pt idx="682">
                  <c:v>86.386203150461711</c:v>
                </c:pt>
                <c:pt idx="683">
                  <c:v>150.16666666666666</c:v>
                </c:pt>
                <c:pt idx="684">
                  <c:v>358.43478260869563</c:v>
                </c:pt>
                <c:pt idx="685">
                  <c:v>542.85714285714289</c:v>
                </c:pt>
                <c:pt idx="686">
                  <c:v>67.500714285714281</c:v>
                </c:pt>
                <c:pt idx="687">
                  <c:v>191.74666666666667</c:v>
                </c:pt>
                <c:pt idx="688">
                  <c:v>932</c:v>
                </c:pt>
                <c:pt idx="689">
                  <c:v>429.27586206896552</c:v>
                </c:pt>
                <c:pt idx="690">
                  <c:v>100.65753424657534</c:v>
                </c:pt>
                <c:pt idx="691">
                  <c:v>226.61111111111111</c:v>
                </c:pt>
                <c:pt idx="692">
                  <c:v>142.38</c:v>
                </c:pt>
                <c:pt idx="693">
                  <c:v>90.63333333333334</c:v>
                </c:pt>
                <c:pt idx="694">
                  <c:v>63.966740576496676</c:v>
                </c:pt>
                <c:pt idx="695">
                  <c:v>84.131868131868131</c:v>
                </c:pt>
                <c:pt idx="696">
                  <c:v>133.93478260869566</c:v>
                </c:pt>
                <c:pt idx="697">
                  <c:v>59.042047531992687</c:v>
                </c:pt>
                <c:pt idx="698">
                  <c:v>152.80062063615205</c:v>
                </c:pt>
                <c:pt idx="699">
                  <c:v>446.69121140142516</c:v>
                </c:pt>
                <c:pt idx="700">
                  <c:v>84.391891891891888</c:v>
                </c:pt>
                <c:pt idx="701">
                  <c:v>3</c:v>
                </c:pt>
                <c:pt idx="702">
                  <c:v>175.02692307692308</c:v>
                </c:pt>
                <c:pt idx="703">
                  <c:v>54.137931034482762</c:v>
                </c:pt>
                <c:pt idx="704">
                  <c:v>311.87381703470032</c:v>
                </c:pt>
                <c:pt idx="705">
                  <c:v>122.7816091954023</c:v>
                </c:pt>
                <c:pt idx="706">
                  <c:v>99.026517383618156</c:v>
                </c:pt>
                <c:pt idx="707">
                  <c:v>127.84686346863468</c:v>
                </c:pt>
                <c:pt idx="708">
                  <c:v>158.61643835616439</c:v>
                </c:pt>
                <c:pt idx="709">
                  <c:v>707.05882352941171</c:v>
                </c:pt>
                <c:pt idx="710">
                  <c:v>142.38775510204081</c:v>
                </c:pt>
                <c:pt idx="711">
                  <c:v>147.86046511627907</c:v>
                </c:pt>
                <c:pt idx="712">
                  <c:v>20.322580645161292</c:v>
                </c:pt>
                <c:pt idx="713">
                  <c:v>1840.625</c:v>
                </c:pt>
                <c:pt idx="714">
                  <c:v>161.94202898550725</c:v>
                </c:pt>
                <c:pt idx="715">
                  <c:v>472.82077922077923</c:v>
                </c:pt>
                <c:pt idx="716">
                  <c:v>24.466101694915253</c:v>
                </c:pt>
                <c:pt idx="717">
                  <c:v>517.65</c:v>
                </c:pt>
                <c:pt idx="718">
                  <c:v>247.64285714285714</c:v>
                </c:pt>
                <c:pt idx="719">
                  <c:v>100.20481927710843</c:v>
                </c:pt>
                <c:pt idx="720">
                  <c:v>153</c:v>
                </c:pt>
                <c:pt idx="721">
                  <c:v>37.091954022988503</c:v>
                </c:pt>
                <c:pt idx="722">
                  <c:v>4.3923948220064721</c:v>
                </c:pt>
                <c:pt idx="723">
                  <c:v>156.50721649484535</c:v>
                </c:pt>
                <c:pt idx="724">
                  <c:v>270.40816326530614</c:v>
                </c:pt>
                <c:pt idx="725">
                  <c:v>134.0595238095238</c:v>
                </c:pt>
                <c:pt idx="726">
                  <c:v>50.398033126293996</c:v>
                </c:pt>
                <c:pt idx="727">
                  <c:v>88.815837937384899</c:v>
                </c:pt>
                <c:pt idx="728">
                  <c:v>165</c:v>
                </c:pt>
                <c:pt idx="729">
                  <c:v>17.5</c:v>
                </c:pt>
                <c:pt idx="730">
                  <c:v>185.66071428571428</c:v>
                </c:pt>
                <c:pt idx="731">
                  <c:v>412.66319444444446</c:v>
                </c:pt>
                <c:pt idx="732">
                  <c:v>90.25</c:v>
                </c:pt>
                <c:pt idx="733">
                  <c:v>91.984615384615381</c:v>
                </c:pt>
                <c:pt idx="734">
                  <c:v>527.00632911392404</c:v>
                </c:pt>
                <c:pt idx="735">
                  <c:v>319.14285714285717</c:v>
                </c:pt>
                <c:pt idx="736">
                  <c:v>354.18867924528303</c:v>
                </c:pt>
                <c:pt idx="737">
                  <c:v>32.896103896103895</c:v>
                </c:pt>
                <c:pt idx="738">
                  <c:v>135.8918918918919</c:v>
                </c:pt>
                <c:pt idx="739">
                  <c:v>2.0843373493975905</c:v>
                </c:pt>
                <c:pt idx="740">
                  <c:v>61</c:v>
                </c:pt>
                <c:pt idx="741">
                  <c:v>30.037735849056602</c:v>
                </c:pt>
                <c:pt idx="742">
                  <c:v>1179.1666666666667</c:v>
                </c:pt>
                <c:pt idx="743">
                  <c:v>1126.0833333333333</c:v>
                </c:pt>
                <c:pt idx="744">
                  <c:v>12.923076923076923</c:v>
                </c:pt>
                <c:pt idx="745">
                  <c:v>712</c:v>
                </c:pt>
                <c:pt idx="746">
                  <c:v>30.304347826086957</c:v>
                </c:pt>
                <c:pt idx="747">
                  <c:v>212.50896057347671</c:v>
                </c:pt>
                <c:pt idx="748">
                  <c:v>228.85714285714286</c:v>
                </c:pt>
                <c:pt idx="749">
                  <c:v>34.959979476654695</c:v>
                </c:pt>
                <c:pt idx="750">
                  <c:v>157.2906976744186</c:v>
                </c:pt>
                <c:pt idx="751">
                  <c:v>1</c:v>
                </c:pt>
                <c:pt idx="752">
                  <c:v>232.30555555555554</c:v>
                </c:pt>
                <c:pt idx="753">
                  <c:v>92.448275862068968</c:v>
                </c:pt>
                <c:pt idx="754">
                  <c:v>256.70212765957444</c:v>
                </c:pt>
                <c:pt idx="755">
                  <c:v>168.47017045454547</c:v>
                </c:pt>
                <c:pt idx="756">
                  <c:v>166.57777777777778</c:v>
                </c:pt>
                <c:pt idx="757">
                  <c:v>772.07692307692309</c:v>
                </c:pt>
                <c:pt idx="758">
                  <c:v>406.85714285714283</c:v>
                </c:pt>
                <c:pt idx="759">
                  <c:v>564.20608108108104</c:v>
                </c:pt>
                <c:pt idx="760">
                  <c:v>68.426865671641792</c:v>
                </c:pt>
                <c:pt idx="761">
                  <c:v>34.351966873706004</c:v>
                </c:pt>
                <c:pt idx="762">
                  <c:v>655.4545454545455</c:v>
                </c:pt>
                <c:pt idx="763">
                  <c:v>177.25714285714287</c:v>
                </c:pt>
                <c:pt idx="764">
                  <c:v>113.17857142857143</c:v>
                </c:pt>
                <c:pt idx="765">
                  <c:v>728.18181818181813</c:v>
                </c:pt>
                <c:pt idx="766">
                  <c:v>208.33333333333334</c:v>
                </c:pt>
                <c:pt idx="767">
                  <c:v>31.171232876712327</c:v>
                </c:pt>
                <c:pt idx="768">
                  <c:v>56.967078189300409</c:v>
                </c:pt>
                <c:pt idx="769">
                  <c:v>231</c:v>
                </c:pt>
                <c:pt idx="770">
                  <c:v>86.867834394904463</c:v>
                </c:pt>
                <c:pt idx="771">
                  <c:v>270.74418604651163</c:v>
                </c:pt>
                <c:pt idx="772">
                  <c:v>49.446428571428569</c:v>
                </c:pt>
                <c:pt idx="773">
                  <c:v>113.3596256684492</c:v>
                </c:pt>
                <c:pt idx="774">
                  <c:v>190.55555555555554</c:v>
                </c:pt>
                <c:pt idx="775">
                  <c:v>135.5</c:v>
                </c:pt>
                <c:pt idx="776">
                  <c:v>10.297872340425531</c:v>
                </c:pt>
                <c:pt idx="777">
                  <c:v>65.544223826714799</c:v>
                </c:pt>
                <c:pt idx="778">
                  <c:v>49.026652452025587</c:v>
                </c:pt>
                <c:pt idx="779">
                  <c:v>787.92307692307691</c:v>
                </c:pt>
                <c:pt idx="780">
                  <c:v>80.306347746090154</c:v>
                </c:pt>
                <c:pt idx="781">
                  <c:v>106.29411764705883</c:v>
                </c:pt>
                <c:pt idx="782">
                  <c:v>50.735632183908045</c:v>
                </c:pt>
                <c:pt idx="783">
                  <c:v>215.31372549019608</c:v>
                </c:pt>
                <c:pt idx="784">
                  <c:v>141.22972972972974</c:v>
                </c:pt>
                <c:pt idx="785">
                  <c:v>115.33745781777277</c:v>
                </c:pt>
                <c:pt idx="786">
                  <c:v>193.11940298507463</c:v>
                </c:pt>
                <c:pt idx="787">
                  <c:v>729.73333333333335</c:v>
                </c:pt>
                <c:pt idx="788">
                  <c:v>99.66339869281046</c:v>
                </c:pt>
                <c:pt idx="789">
                  <c:v>88.166666666666671</c:v>
                </c:pt>
                <c:pt idx="790">
                  <c:v>37.233333333333334</c:v>
                </c:pt>
                <c:pt idx="791">
                  <c:v>30.540075309306079</c:v>
                </c:pt>
                <c:pt idx="792">
                  <c:v>25.714285714285715</c:v>
                </c:pt>
                <c:pt idx="793">
                  <c:v>34</c:v>
                </c:pt>
                <c:pt idx="794">
                  <c:v>1185.909090909091</c:v>
                </c:pt>
                <c:pt idx="795">
                  <c:v>125.39393939393939</c:v>
                </c:pt>
                <c:pt idx="796">
                  <c:v>14.394366197183098</c:v>
                </c:pt>
                <c:pt idx="797">
                  <c:v>54.807692307692307</c:v>
                </c:pt>
                <c:pt idx="798">
                  <c:v>109.63157894736842</c:v>
                </c:pt>
                <c:pt idx="799">
                  <c:v>188.47058823529412</c:v>
                </c:pt>
                <c:pt idx="800">
                  <c:v>87.008284023668637</c:v>
                </c:pt>
                <c:pt idx="801">
                  <c:v>1</c:v>
                </c:pt>
                <c:pt idx="802">
                  <c:v>202.91304347826087</c:v>
                </c:pt>
                <c:pt idx="803">
                  <c:v>197.03225806451613</c:v>
                </c:pt>
                <c:pt idx="804">
                  <c:v>107</c:v>
                </c:pt>
                <c:pt idx="805">
                  <c:v>268.73076923076923</c:v>
                </c:pt>
                <c:pt idx="806">
                  <c:v>50.845360824742265</c:v>
                </c:pt>
                <c:pt idx="807">
                  <c:v>1180.2857142857142</c:v>
                </c:pt>
                <c:pt idx="808">
                  <c:v>264</c:v>
                </c:pt>
                <c:pt idx="809">
                  <c:v>30.442307692307693</c:v>
                </c:pt>
                <c:pt idx="810">
                  <c:v>62.88068181818182</c:v>
                </c:pt>
                <c:pt idx="811">
                  <c:v>193.125</c:v>
                </c:pt>
                <c:pt idx="812">
                  <c:v>77.1027027027027</c:v>
                </c:pt>
                <c:pt idx="813">
                  <c:v>225.52763819095478</c:v>
                </c:pt>
                <c:pt idx="814">
                  <c:v>239.40625</c:v>
                </c:pt>
                <c:pt idx="815">
                  <c:v>92.1875</c:v>
                </c:pt>
                <c:pt idx="816">
                  <c:v>130.23333333333332</c:v>
                </c:pt>
                <c:pt idx="817">
                  <c:v>615.21739130434787</c:v>
                </c:pt>
                <c:pt idx="818">
                  <c:v>368.79532163742692</c:v>
                </c:pt>
                <c:pt idx="819">
                  <c:v>1094.8571428571429</c:v>
                </c:pt>
                <c:pt idx="820">
                  <c:v>50.662921348314605</c:v>
                </c:pt>
                <c:pt idx="821">
                  <c:v>800.6</c:v>
                </c:pt>
                <c:pt idx="822">
                  <c:v>291.28571428571428</c:v>
                </c:pt>
                <c:pt idx="823">
                  <c:v>349.96666666666664</c:v>
                </c:pt>
                <c:pt idx="824">
                  <c:v>357.07317073170731</c:v>
                </c:pt>
                <c:pt idx="825">
                  <c:v>126.48941176470588</c:v>
                </c:pt>
                <c:pt idx="826">
                  <c:v>387.5</c:v>
                </c:pt>
                <c:pt idx="827">
                  <c:v>457.03571428571428</c:v>
                </c:pt>
                <c:pt idx="828">
                  <c:v>266.69565217391306</c:v>
                </c:pt>
                <c:pt idx="829">
                  <c:v>69</c:v>
                </c:pt>
                <c:pt idx="830">
                  <c:v>51.34375</c:v>
                </c:pt>
                <c:pt idx="831">
                  <c:v>1.1710526315789473</c:v>
                </c:pt>
                <c:pt idx="832">
                  <c:v>108.97734294541709</c:v>
                </c:pt>
                <c:pt idx="833">
                  <c:v>315.17592592592592</c:v>
                </c:pt>
                <c:pt idx="834">
                  <c:v>157.69117647058823</c:v>
                </c:pt>
                <c:pt idx="835">
                  <c:v>153.8082191780822</c:v>
                </c:pt>
                <c:pt idx="836">
                  <c:v>89.738979118329468</c:v>
                </c:pt>
                <c:pt idx="837">
                  <c:v>75.135802469135797</c:v>
                </c:pt>
                <c:pt idx="838">
                  <c:v>852.88135593220341</c:v>
                </c:pt>
                <c:pt idx="839">
                  <c:v>138.90625</c:v>
                </c:pt>
                <c:pt idx="840">
                  <c:v>190.18181818181819</c:v>
                </c:pt>
                <c:pt idx="841">
                  <c:v>100.24333619948409</c:v>
                </c:pt>
                <c:pt idx="842">
                  <c:v>142.75824175824175</c:v>
                </c:pt>
                <c:pt idx="843">
                  <c:v>563.13333333333333</c:v>
                </c:pt>
                <c:pt idx="844">
                  <c:v>30.71590909090909</c:v>
                </c:pt>
                <c:pt idx="845">
                  <c:v>99.397727272727266</c:v>
                </c:pt>
                <c:pt idx="846">
                  <c:v>197.54935622317598</c:v>
                </c:pt>
                <c:pt idx="847">
                  <c:v>508.5</c:v>
                </c:pt>
                <c:pt idx="848">
                  <c:v>237.74468085106383</c:v>
                </c:pt>
                <c:pt idx="849">
                  <c:v>338.46875</c:v>
                </c:pt>
                <c:pt idx="850">
                  <c:v>133.08955223880596</c:v>
                </c:pt>
                <c:pt idx="851">
                  <c:v>1</c:v>
                </c:pt>
                <c:pt idx="852">
                  <c:v>207.8</c:v>
                </c:pt>
                <c:pt idx="853">
                  <c:v>51.122448979591837</c:v>
                </c:pt>
                <c:pt idx="854">
                  <c:v>652.05847953216369</c:v>
                </c:pt>
                <c:pt idx="855">
                  <c:v>113.63099415204678</c:v>
                </c:pt>
                <c:pt idx="856">
                  <c:v>102.37606837606837</c:v>
                </c:pt>
                <c:pt idx="857">
                  <c:v>356.58333333333331</c:v>
                </c:pt>
                <c:pt idx="858">
                  <c:v>139.8679245283019</c:v>
                </c:pt>
                <c:pt idx="859">
                  <c:v>69.45</c:v>
                </c:pt>
                <c:pt idx="860">
                  <c:v>35.534246575342465</c:v>
                </c:pt>
                <c:pt idx="861">
                  <c:v>251.65</c:v>
                </c:pt>
                <c:pt idx="862">
                  <c:v>105.875</c:v>
                </c:pt>
                <c:pt idx="863">
                  <c:v>187.42857142857142</c:v>
                </c:pt>
                <c:pt idx="864">
                  <c:v>386.78571428571428</c:v>
                </c:pt>
                <c:pt idx="865">
                  <c:v>347.07142857142856</c:v>
                </c:pt>
                <c:pt idx="866">
                  <c:v>185.82098765432099</c:v>
                </c:pt>
                <c:pt idx="867">
                  <c:v>43.241247264770237</c:v>
                </c:pt>
                <c:pt idx="868">
                  <c:v>162.4375</c:v>
                </c:pt>
                <c:pt idx="869">
                  <c:v>184.84285714285716</c:v>
                </c:pt>
                <c:pt idx="870">
                  <c:v>23.703520691785052</c:v>
                </c:pt>
                <c:pt idx="871">
                  <c:v>89.870129870129873</c:v>
                </c:pt>
                <c:pt idx="872">
                  <c:v>272.6041958041958</c:v>
                </c:pt>
                <c:pt idx="873">
                  <c:v>170.04255319148936</c:v>
                </c:pt>
                <c:pt idx="874">
                  <c:v>188.28503562945369</c:v>
                </c:pt>
                <c:pt idx="875">
                  <c:v>346.93532338308455</c:v>
                </c:pt>
                <c:pt idx="876">
                  <c:v>69.177215189873422</c:v>
                </c:pt>
                <c:pt idx="877">
                  <c:v>25.433734939759034</c:v>
                </c:pt>
                <c:pt idx="878">
                  <c:v>77.400977995110026</c:v>
                </c:pt>
                <c:pt idx="879">
                  <c:v>37.481481481481481</c:v>
                </c:pt>
                <c:pt idx="880">
                  <c:v>543.79999999999995</c:v>
                </c:pt>
                <c:pt idx="881">
                  <c:v>228.52189349112427</c:v>
                </c:pt>
                <c:pt idx="882">
                  <c:v>38.948339483394832</c:v>
                </c:pt>
                <c:pt idx="883">
                  <c:v>370</c:v>
                </c:pt>
                <c:pt idx="884">
                  <c:v>237.91176470588235</c:v>
                </c:pt>
                <c:pt idx="885">
                  <c:v>64.036299765807968</c:v>
                </c:pt>
                <c:pt idx="886">
                  <c:v>118.27777777777777</c:v>
                </c:pt>
                <c:pt idx="887">
                  <c:v>84.824037184594957</c:v>
                </c:pt>
                <c:pt idx="888">
                  <c:v>29.346153846153847</c:v>
                </c:pt>
                <c:pt idx="889">
                  <c:v>209.89655172413794</c:v>
                </c:pt>
                <c:pt idx="890">
                  <c:v>169.78571428571428</c:v>
                </c:pt>
                <c:pt idx="891">
                  <c:v>115.95907738095238</c:v>
                </c:pt>
                <c:pt idx="892">
                  <c:v>258.60000000000002</c:v>
                </c:pt>
                <c:pt idx="893">
                  <c:v>230.58333333333334</c:v>
                </c:pt>
                <c:pt idx="894">
                  <c:v>128.21428571428572</c:v>
                </c:pt>
                <c:pt idx="895">
                  <c:v>188.70588235294119</c:v>
                </c:pt>
                <c:pt idx="896">
                  <c:v>6.9511889862327907</c:v>
                </c:pt>
                <c:pt idx="897">
                  <c:v>774.43434343434342</c:v>
                </c:pt>
                <c:pt idx="898">
                  <c:v>27.693181818181817</c:v>
                </c:pt>
                <c:pt idx="899">
                  <c:v>52.479620323841431</c:v>
                </c:pt>
                <c:pt idx="900">
                  <c:v>407.09677419354841</c:v>
                </c:pt>
                <c:pt idx="901">
                  <c:v>2</c:v>
                </c:pt>
                <c:pt idx="902">
                  <c:v>156.17857142857142</c:v>
                </c:pt>
                <c:pt idx="903">
                  <c:v>252.42857142857142</c:v>
                </c:pt>
                <c:pt idx="904">
                  <c:v>1.7292682926829268</c:v>
                </c:pt>
                <c:pt idx="905">
                  <c:v>12.23076923076923</c:v>
                </c:pt>
                <c:pt idx="906">
                  <c:v>163.98734177215189</c:v>
                </c:pt>
                <c:pt idx="907">
                  <c:v>162.98181818181817</c:v>
                </c:pt>
                <c:pt idx="908">
                  <c:v>20.252747252747252</c:v>
                </c:pt>
                <c:pt idx="909">
                  <c:v>319.24083769633506</c:v>
                </c:pt>
                <c:pt idx="910">
                  <c:v>478.94444444444446</c:v>
                </c:pt>
                <c:pt idx="911">
                  <c:v>19.556634304207119</c:v>
                </c:pt>
                <c:pt idx="912">
                  <c:v>198.94827586206895</c:v>
                </c:pt>
                <c:pt idx="913">
                  <c:v>795</c:v>
                </c:pt>
                <c:pt idx="914">
                  <c:v>50.621082621082621</c:v>
                </c:pt>
                <c:pt idx="915">
                  <c:v>57.4375</c:v>
                </c:pt>
                <c:pt idx="916">
                  <c:v>155.62827640984909</c:v>
                </c:pt>
                <c:pt idx="917">
                  <c:v>36.297297297297298</c:v>
                </c:pt>
                <c:pt idx="918">
                  <c:v>58.25</c:v>
                </c:pt>
                <c:pt idx="919">
                  <c:v>237.39473684210526</c:v>
                </c:pt>
                <c:pt idx="920">
                  <c:v>58.75</c:v>
                </c:pt>
                <c:pt idx="921">
                  <c:v>182.56603773584905</c:v>
                </c:pt>
                <c:pt idx="922">
                  <c:v>0.75436408977556113</c:v>
                </c:pt>
                <c:pt idx="923">
                  <c:v>175.95330739299609</c:v>
                </c:pt>
                <c:pt idx="924">
                  <c:v>237.88235294117646</c:v>
                </c:pt>
                <c:pt idx="925">
                  <c:v>488.05076142131981</c:v>
                </c:pt>
                <c:pt idx="926">
                  <c:v>224.06666666666666</c:v>
                </c:pt>
                <c:pt idx="927">
                  <c:v>18.126436781609197</c:v>
                </c:pt>
                <c:pt idx="928">
                  <c:v>45.847222222222221</c:v>
                </c:pt>
                <c:pt idx="929">
                  <c:v>117.31541218637993</c:v>
                </c:pt>
                <c:pt idx="930">
                  <c:v>217.30909090909091</c:v>
                </c:pt>
                <c:pt idx="931">
                  <c:v>112.28571428571429</c:v>
                </c:pt>
                <c:pt idx="932">
                  <c:v>72.518987341772146</c:v>
                </c:pt>
                <c:pt idx="933">
                  <c:v>212.30434782608697</c:v>
                </c:pt>
                <c:pt idx="934">
                  <c:v>239.74657534246575</c:v>
                </c:pt>
                <c:pt idx="935">
                  <c:v>181.93548387096774</c:v>
                </c:pt>
                <c:pt idx="936">
                  <c:v>164.13114754098362</c:v>
                </c:pt>
                <c:pt idx="937">
                  <c:v>1.6375968992248062</c:v>
                </c:pt>
                <c:pt idx="938">
                  <c:v>49.64385964912281</c:v>
                </c:pt>
                <c:pt idx="939">
                  <c:v>109.70652173913044</c:v>
                </c:pt>
                <c:pt idx="940">
                  <c:v>49.217948717948715</c:v>
                </c:pt>
                <c:pt idx="941">
                  <c:v>62.232323232323232</c:v>
                </c:pt>
                <c:pt idx="942">
                  <c:v>13.05813953488372</c:v>
                </c:pt>
                <c:pt idx="943">
                  <c:v>64.635416666666671</c:v>
                </c:pt>
                <c:pt idx="944">
                  <c:v>159.58666666666667</c:v>
                </c:pt>
                <c:pt idx="945">
                  <c:v>81.42</c:v>
                </c:pt>
                <c:pt idx="946">
                  <c:v>32.444767441860463</c:v>
                </c:pt>
                <c:pt idx="947">
                  <c:v>9.9141184124918666</c:v>
                </c:pt>
                <c:pt idx="948">
                  <c:v>26.694444444444443</c:v>
                </c:pt>
                <c:pt idx="949">
                  <c:v>62.957446808510639</c:v>
                </c:pt>
                <c:pt idx="950">
                  <c:v>161.35593220338984</c:v>
                </c:pt>
                <c:pt idx="951">
                  <c:v>5</c:v>
                </c:pt>
                <c:pt idx="952">
                  <c:v>1096.9379310344827</c:v>
                </c:pt>
                <c:pt idx="953">
                  <c:v>70.094158075601371</c:v>
                </c:pt>
                <c:pt idx="954">
                  <c:v>60</c:v>
                </c:pt>
                <c:pt idx="955">
                  <c:v>367.09859154929575</c:v>
                </c:pt>
                <c:pt idx="956">
                  <c:v>1109</c:v>
                </c:pt>
                <c:pt idx="957">
                  <c:v>19.028784648187631</c:v>
                </c:pt>
                <c:pt idx="958">
                  <c:v>126.87755102040816</c:v>
                </c:pt>
                <c:pt idx="959">
                  <c:v>734.63636363636363</c:v>
                </c:pt>
                <c:pt idx="960">
                  <c:v>4.5731034482758623</c:v>
                </c:pt>
                <c:pt idx="961">
                  <c:v>85.054545454545448</c:v>
                </c:pt>
                <c:pt idx="962">
                  <c:v>119.29824561403508</c:v>
                </c:pt>
                <c:pt idx="963">
                  <c:v>296.02777777777777</c:v>
                </c:pt>
                <c:pt idx="964">
                  <c:v>84.694915254237287</c:v>
                </c:pt>
                <c:pt idx="965">
                  <c:v>355.7837837837838</c:v>
                </c:pt>
                <c:pt idx="966">
                  <c:v>386.40909090909093</c:v>
                </c:pt>
                <c:pt idx="967">
                  <c:v>792.23529411764707</c:v>
                </c:pt>
                <c:pt idx="968">
                  <c:v>137.0339366515837</c:v>
                </c:pt>
                <c:pt idx="969">
                  <c:v>338.20833333333331</c:v>
                </c:pt>
                <c:pt idx="970">
                  <c:v>108.22784810126582</c:v>
                </c:pt>
                <c:pt idx="971">
                  <c:v>60.757639620653322</c:v>
                </c:pt>
                <c:pt idx="972">
                  <c:v>27.725490196078432</c:v>
                </c:pt>
                <c:pt idx="973">
                  <c:v>228.39344262295083</c:v>
                </c:pt>
                <c:pt idx="974">
                  <c:v>21.615194054500414</c:v>
                </c:pt>
                <c:pt idx="975">
                  <c:v>373.875</c:v>
                </c:pt>
                <c:pt idx="976">
                  <c:v>154.92592592592592</c:v>
                </c:pt>
                <c:pt idx="977">
                  <c:v>322.14999999999998</c:v>
                </c:pt>
                <c:pt idx="978">
                  <c:v>73.957142857142856</c:v>
                </c:pt>
                <c:pt idx="979">
                  <c:v>864.1</c:v>
                </c:pt>
                <c:pt idx="980">
                  <c:v>143.26245847176079</c:v>
                </c:pt>
                <c:pt idx="981">
                  <c:v>40.281762295081968</c:v>
                </c:pt>
                <c:pt idx="982">
                  <c:v>178.22388059701493</c:v>
                </c:pt>
                <c:pt idx="983">
                  <c:v>84.930555555555557</c:v>
                </c:pt>
                <c:pt idx="984">
                  <c:v>145.93648334624322</c:v>
                </c:pt>
                <c:pt idx="985">
                  <c:v>152.46153846153845</c:v>
                </c:pt>
                <c:pt idx="986">
                  <c:v>67.129542790152399</c:v>
                </c:pt>
                <c:pt idx="987">
                  <c:v>40.307692307692307</c:v>
                </c:pt>
                <c:pt idx="988">
                  <c:v>216.79032258064515</c:v>
                </c:pt>
                <c:pt idx="989">
                  <c:v>52.117021276595743</c:v>
                </c:pt>
                <c:pt idx="990">
                  <c:v>499.58333333333331</c:v>
                </c:pt>
                <c:pt idx="991">
                  <c:v>87.679487179487182</c:v>
                </c:pt>
                <c:pt idx="992">
                  <c:v>113.17346938775511</c:v>
                </c:pt>
                <c:pt idx="993">
                  <c:v>426.54838709677421</c:v>
                </c:pt>
                <c:pt idx="994">
                  <c:v>77.632653061224488</c:v>
                </c:pt>
                <c:pt idx="995">
                  <c:v>52.496810772501775</c:v>
                </c:pt>
                <c:pt idx="996">
                  <c:v>157.46762589928056</c:v>
                </c:pt>
                <c:pt idx="997">
                  <c:v>72.939393939393938</c:v>
                </c:pt>
                <c:pt idx="998">
                  <c:v>60.565789473684212</c:v>
                </c:pt>
                <c:pt idx="999">
                  <c:v>56.791291291291294</c:v>
                </c:pt>
                <c:pt idx="1000">
                  <c:v>56.542754275427541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E1-3D40-AF7E-0BD9711223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7815328"/>
        <c:axId val="2007413856"/>
      </c:scatterChart>
      <c:valAx>
        <c:axId val="2007815328"/>
        <c:scaling>
          <c:orientation val="minMax"/>
          <c:max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Campaign</a:t>
                </a:r>
                <a:r>
                  <a:rPr lang="en-US" baseline="0"/>
                  <a:t> Duration (days)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7413856"/>
        <c:crosses val="autoZero"/>
        <c:crossBetween val="midCat"/>
      </c:valAx>
      <c:valAx>
        <c:axId val="200741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Funded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7815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[CrowdfundingBook-Abegg.xlsx]Extra - # Backers by Outcome!PivotTable1</c:name>
    <c:fmtId val="1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Number of Backers and Avereage Donation by Outcome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rgbClr val="92D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rgbClr val="FFA3D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rgbClr val="F0E08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rgbClr val="F0E08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rgbClr val="FFA3D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rgbClr val="92D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rgbClr val="F0E08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rgbClr val="FFA3D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rgbClr val="92D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rgbClr val="F0E080"/>
          </a:solidFill>
          <a:ln>
            <a:noFill/>
          </a:ln>
          <a:effectLst/>
        </c:spPr>
      </c:pivotFmt>
      <c:pivotFmt>
        <c:idx val="32"/>
        <c:spPr>
          <a:solidFill>
            <a:srgbClr val="FFA3D2"/>
          </a:solidFill>
          <a:ln>
            <a:noFill/>
          </a:ln>
          <a:effectLst/>
        </c:spPr>
      </c:pivotFmt>
      <c:pivotFmt>
        <c:idx val="33"/>
        <c:spPr>
          <a:solidFill>
            <a:srgbClr val="92D050"/>
          </a:solidFill>
          <a:ln>
            <a:noFill/>
          </a:ln>
          <a:effectLst/>
        </c:spP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_(&quot;$&quot;* #,##0_);_(&quot;$&quot;* \(#,##0\);_(&quot;$&quot;* &quot;-&quot;_);_(@_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4">
              <a:lumMod val="75000"/>
            </a:schemeClr>
          </a:solidFill>
          <a:ln>
            <a:noFill/>
          </a:ln>
          <a:effectLst/>
        </c:spPr>
        <c:dLbl>
          <c:idx val="0"/>
          <c:numFmt formatCode="_(&quot;$&quot;* #,##0_);_(&quot;$&quot;* \(#,##0\);_(&quot;$&quot;* &quot;-&quot;_);_(@_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rgbClr val="FF0000"/>
          </a:solidFill>
          <a:ln>
            <a:noFill/>
          </a:ln>
          <a:effectLst/>
        </c:spPr>
        <c:dLbl>
          <c:idx val="0"/>
          <c:numFmt formatCode="_(&quot;$&quot;* #,##0_);_(&quot;$&quot;* \(#,##0\);_(&quot;$&quot;* &quot;-&quot;_);_(@_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rgbClr val="00B050"/>
          </a:solidFill>
          <a:ln>
            <a:noFill/>
          </a:ln>
          <a:effectLst/>
        </c:spPr>
        <c:dLbl>
          <c:idx val="0"/>
          <c:numFmt formatCode="_(&quot;$&quot;* #,##0_);_(&quot;$&quot;* \(#,##0\);_(&quot;$&quot;* &quot;-&quot;_);_(@_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'Extra - # Backers by Outcome'!$B$3</c:f>
              <c:strCache>
                <c:ptCount val="1"/>
                <c:pt idx="0">
                  <c:v>Average of backers_count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0E08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07B7-3144-9471-2E71A645B3B2}"/>
              </c:ext>
            </c:extLst>
          </c:dPt>
          <c:dPt>
            <c:idx val="1"/>
            <c:invertIfNegative val="0"/>
            <c:bubble3D val="0"/>
            <c:spPr>
              <a:solidFill>
                <a:srgbClr val="FFA3D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07B7-3144-9471-2E71A645B3B2}"/>
              </c:ext>
            </c:extLst>
          </c:dPt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07B7-3144-9471-2E71A645B3B2}"/>
              </c:ext>
            </c:extLst>
          </c:dPt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'Extra - # Backers by Outcome'!$A$4:$A$7</c:f>
              <c:strCache>
                <c:ptCount val="3"/>
                <c:pt idx="0">
                  <c:v>canceled</c:v>
                </c:pt>
                <c:pt idx="1">
                  <c:v>failed</c:v>
                </c:pt>
                <c:pt idx="2">
                  <c:v>successful</c:v>
                </c:pt>
              </c:strCache>
            </c:strRef>
          </c:cat>
          <c:val>
            <c:numRef>
              <c:f>'Extra - # Backers by Outcome'!$B$4:$B$7</c:f>
              <c:numCache>
                <c:formatCode>General</c:formatCode>
                <c:ptCount val="3"/>
                <c:pt idx="0">
                  <c:v>490.31818181818181</c:v>
                </c:pt>
                <c:pt idx="1">
                  <c:v>532.16788321167883</c:v>
                </c:pt>
                <c:pt idx="2">
                  <c:v>860.54128440366969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7B7-3144-9471-2E71A645B3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6"/>
        <c:overlap val="-13"/>
        <c:axId val="712577296"/>
        <c:axId val="712579008"/>
      </c:barChart>
      <c:barChart>
        <c:barDir val="col"/>
        <c:grouping val="clustered"/>
        <c:varyColors val="0"/>
        <c:ser>
          <c:idx val="1"/>
          <c:order val="1"/>
          <c:tx>
            <c:strRef>
              <c:f>'Extra - # Backers by Outcome'!$C$3</c:f>
              <c:strCache>
                <c:ptCount val="1"/>
                <c:pt idx="0">
                  <c:v>Average of Average Donation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07B7-3144-9471-2E71A645B3B2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07B7-3144-9471-2E71A645B3B2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07B7-3144-9471-2E71A645B3B2}"/>
              </c:ext>
            </c:extLst>
          </c:dPt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07B7-3144-9471-2E71A645B3B2}"/>
                </c:ext>
              </c:extLst>
            </c:dLbl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07B7-3144-9471-2E71A645B3B2}"/>
                </c:ext>
              </c:extLst>
            </c:dLbl>
            <c:dLbl>
              <c:idx val="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07B7-3144-9471-2E71A645B3B2}"/>
                </c:ext>
              </c:extLst>
            </c:dLbl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'Extra - # Backers by Outcome'!$A$4:$A$7</c:f>
              <c:strCache>
                <c:ptCount val="3"/>
                <c:pt idx="0">
                  <c:v>canceled</c:v>
                </c:pt>
                <c:pt idx="1">
                  <c:v>failed</c:v>
                </c:pt>
                <c:pt idx="2">
                  <c:v>successful</c:v>
                </c:pt>
              </c:strCache>
            </c:strRef>
          </c:cat>
          <c:val>
            <c:numRef>
              <c:f>'Extra - # Backers by Outcome'!$C$4:$C$7</c:f>
              <c:numCache>
                <c:formatCode>General</c:formatCode>
                <c:ptCount val="3"/>
                <c:pt idx="0">
                  <c:v>70.224973135641022</c:v>
                </c:pt>
                <c:pt idx="1">
                  <c:v>66.274306189356082</c:v>
                </c:pt>
                <c:pt idx="2">
                  <c:v>68.675180749150897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7B7-3144-9471-2E71A645B3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1"/>
        <c:axId val="2091410416"/>
        <c:axId val="2042341456"/>
      </c:barChart>
      <c:catAx>
        <c:axId val="712577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579008"/>
        <c:crosses val="autoZero"/>
        <c:auto val="1"/>
        <c:lblAlgn val="ctr"/>
        <c:lblOffset val="100"/>
        <c:noMultiLvlLbl val="0"/>
      </c:catAx>
      <c:valAx>
        <c:axId val="712579008"/>
        <c:scaling>
          <c:orientation val="minMax"/>
          <c:max val="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Number of Backers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577296"/>
        <c:crosses val="autoZero"/>
        <c:crossBetween val="between"/>
      </c:valAx>
      <c:valAx>
        <c:axId val="2042341456"/>
        <c:scaling>
          <c:orientation val="minMax"/>
          <c:max val="84"/>
          <c:min val="6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Donation ($)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1410416"/>
        <c:crosses val="max"/>
        <c:crossBetween val="between"/>
        <c:majorUnit val="2"/>
      </c:valAx>
      <c:catAx>
        <c:axId val="20914104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423414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[CrowdfundingBook-Abegg.xlsx]Outcome per Sub-Category!PivotTable1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Campaign Outcomes per Sub-Category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rgbClr val="92D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rgbClr val="FFA3D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rgbClr val="F0E08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rgbClr val="F0E08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rgbClr val="FFA3D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rgbClr val="92D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rgbClr val="F0E08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rgbClr val="FFA3D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rgbClr val="92D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'Outcome per Sub-Category'!$B$4:$B$5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0E080"/>
            </a:solidFill>
            <a:ln>
              <a:noFill/>
            </a:ln>
            <a:effectLst/>
          </c:spPr>
          <c:invertIfNegative val="0"/>
          <c:cat>
            <c:strRef>
              <c:f>'Outcome per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per Sub-Category'!$B$6:$B$30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33-8544-AD8C-DBE9FF86D6B6}"/>
            </c:ext>
          </c:extLst>
        </c:ser>
        <c:ser>
          <c:idx val="1"/>
          <c:order val="1"/>
          <c:tx>
            <c:strRef>
              <c:f>'Outcome per Sub-Category'!$C$4:$C$5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A3D2"/>
            </a:solidFill>
            <a:ln>
              <a:noFill/>
            </a:ln>
            <a:effectLst/>
          </c:spPr>
          <c:invertIfNegative val="0"/>
          <c:cat>
            <c:strRef>
              <c:f>'Outcome per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per Sub-Category'!$C$6:$C$30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E33-8544-AD8C-DBE9FF86D6B6}"/>
            </c:ext>
          </c:extLst>
        </c:ser>
        <c:ser>
          <c:idx val="2"/>
          <c:order val="2"/>
          <c:tx>
            <c:strRef>
              <c:f>'Outcome per Sub-Category'!$D$4:$D$5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'Outcome per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per Sub-Category'!$D$6:$D$30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E33-8544-AD8C-DBE9FF86D6B6}"/>
            </c:ext>
          </c:extLst>
        </c:ser>
        <c:ser>
          <c:idx val="3"/>
          <c:order val="3"/>
          <c:tx>
            <c:strRef>
              <c:f>'Outcome per Sub-Category'!$E$4:$E$5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'Outcome per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per Sub-Category'!$E$6:$E$30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E33-8544-AD8C-DBE9FF86D6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712577296"/>
        <c:axId val="712579008"/>
      </c:barChart>
      <c:catAx>
        <c:axId val="712577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579008"/>
        <c:crosses val="autoZero"/>
        <c:auto val="1"/>
        <c:lblAlgn val="ctr"/>
        <c:lblOffset val="100"/>
        <c:noMultiLvlLbl val="0"/>
      </c:catAx>
      <c:valAx>
        <c:axId val="71257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Campaigns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57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[CrowdfundingBook-Abegg.xlsx]Outcome by Launch Date!PivotTable11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Launch Date Outcomes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noFill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FFA3D2"/>
            </a:solidFill>
            <a:round/>
          </a:ln>
          <a:effectLst/>
        </c:spPr>
        <c:marker>
          <c:symbol val="circle"/>
          <c:size val="5"/>
          <c:spPr>
            <a:solidFill>
              <a:srgbClr val="FFA3D2"/>
            </a:solidFill>
            <a:ln w="9525">
              <a:solidFill>
                <a:schemeClr val="tx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rgbClr val="05DEEE"/>
            </a:solidFill>
            <a:round/>
          </a:ln>
          <a:effectLst/>
        </c:spPr>
        <c:marker>
          <c:symbol val="circle"/>
          <c:size val="5"/>
          <c:spPr>
            <a:solidFill>
              <a:srgbClr val="05DEEE"/>
            </a:solidFill>
            <a:ln w="9525">
              <a:solidFill>
                <a:schemeClr val="tx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rgbClr val="92D050"/>
            </a:solidFill>
            <a:round/>
          </a:ln>
          <a:effectLst/>
        </c:spPr>
        <c:marker>
          <c:symbol val="circle"/>
          <c:size val="5"/>
          <c:spPr>
            <a:solidFill>
              <a:srgbClr val="92D050"/>
            </a:solidFill>
            <a:ln w="9525">
              <a:solidFill>
                <a:schemeClr val="tx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rgbClr val="F0E080"/>
            </a:solidFill>
            <a:round/>
          </a:ln>
          <a:effectLst/>
        </c:spPr>
        <c:marker>
          <c:symbol val="circle"/>
          <c:size val="5"/>
          <c:spPr>
            <a:solidFill>
              <a:srgbClr val="F0E080"/>
            </a:solidFill>
            <a:ln w="9525">
              <a:solidFill>
                <a:schemeClr val="tx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 by Launch Date'!$B$4:$B$5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rgbClr val="F0E08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0E08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'Outcome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by Launch Date'!$B$6:$B$18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F0-D340-87AD-566C45D4B075}"/>
            </c:ext>
          </c:extLst>
        </c:ser>
        <c:ser>
          <c:idx val="1"/>
          <c:order val="1"/>
          <c:tx>
            <c:strRef>
              <c:f>'Outcome by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FFA3D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A3D2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'Outcome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by Launch Date'!$C$6:$C$18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F0-D340-87AD-566C45D4B075}"/>
            </c:ext>
          </c:extLst>
        </c:ser>
        <c:ser>
          <c:idx val="2"/>
          <c:order val="2"/>
          <c:tx>
            <c:strRef>
              <c:f>'Outcome by Launch Date'!$D$4:$D$5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'Outcome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by Launch Date'!$D$6:$D$18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1F0-D340-87AD-566C45D4B0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3478736"/>
        <c:axId val="853480448"/>
      </c:lineChart>
      <c:catAx>
        <c:axId val="85347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3480448"/>
        <c:crosses val="autoZero"/>
        <c:auto val="1"/>
        <c:lblAlgn val="ctr"/>
        <c:lblOffset val="100"/>
        <c:noMultiLvlLbl val="0"/>
      </c:catAx>
      <c:valAx>
        <c:axId val="85348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Campaigns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347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'Outcomes Based on Goal'!$F$1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'Outcomes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'Outcomes Based on Goal'!$F$2:$F$13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5C-B649-90BF-86009EED524E}"/>
            </c:ext>
          </c:extLst>
        </c:ser>
        <c:ser>
          <c:idx val="2"/>
          <c:order val="1"/>
          <c:tx>
            <c:strRef>
              <c:f>'Outcomes Based on Goal'!$G$1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rgbClr val="FFA3D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A3D2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'Outcomes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'Outcomes Based on Goal'!$G$2:$G$13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5C-B649-90BF-86009EED524E}"/>
            </c:ext>
          </c:extLst>
        </c:ser>
        <c:ser>
          <c:idx val="3"/>
          <c:order val="2"/>
          <c:tx>
            <c:strRef>
              <c:f>'Outcomes Based on Goal'!$H$1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rgbClr val="F0E08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0E08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'Outcomes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'Outcomes Based on Goal'!$H$2:$H$13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5C-B649-90BF-86009EED52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5698064"/>
        <c:axId val="1438347248"/>
      </c:lineChart>
      <c:catAx>
        <c:axId val="1905698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Goal amount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8347248"/>
        <c:crosses val="autoZero"/>
        <c:auto val="1"/>
        <c:lblAlgn val="ctr"/>
        <c:lblOffset val="100"/>
        <c:noMultiLvlLbl val="0"/>
      </c:catAx>
      <c:valAx>
        <c:axId val="143834724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5698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[CrowdfundingBook-Abegg.xlsx]Extra - Donation by Launch Date!PivotTable11</c:name>
    <c:fmtId val="1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Total Donations by Launch Date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noFill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rgbClr val="FFA3D2"/>
            </a:solidFill>
            <a:round/>
          </a:ln>
          <a:effectLst/>
        </c:spPr>
        <c:marker>
          <c:symbol val="circle"/>
          <c:size val="5"/>
          <c:spPr>
            <a:solidFill>
              <a:srgbClr val="FFA3D2"/>
            </a:solidFill>
            <a:ln w="9525">
              <a:solidFill>
                <a:schemeClr val="tx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rgbClr val="05DEEE"/>
            </a:solidFill>
            <a:round/>
          </a:ln>
          <a:effectLst/>
        </c:spPr>
        <c:marker>
          <c:symbol val="circle"/>
          <c:size val="5"/>
          <c:spPr>
            <a:solidFill>
              <a:srgbClr val="05DEEE"/>
            </a:solidFill>
            <a:ln w="9525">
              <a:solidFill>
                <a:schemeClr val="tx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rgbClr val="92D050"/>
            </a:solidFill>
            <a:round/>
          </a:ln>
          <a:effectLst/>
        </c:spPr>
        <c:marker>
          <c:symbol val="circle"/>
          <c:size val="5"/>
          <c:spPr>
            <a:solidFill>
              <a:srgbClr val="92D050"/>
            </a:solidFill>
            <a:ln w="9525">
              <a:solidFill>
                <a:schemeClr val="tx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rgbClr val="F0E080"/>
            </a:solidFill>
            <a:round/>
          </a:ln>
          <a:effectLst/>
        </c:spPr>
        <c:marker>
          <c:symbol val="circle"/>
          <c:size val="5"/>
          <c:spPr>
            <a:solidFill>
              <a:srgbClr val="F0E080"/>
            </a:solidFill>
            <a:ln w="9525">
              <a:solidFill>
                <a:schemeClr val="tx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rgbClr val="F0E080"/>
            </a:solidFill>
            <a:round/>
          </a:ln>
          <a:effectLst/>
        </c:spPr>
        <c:marker>
          <c:symbol val="circle"/>
          <c:size val="5"/>
          <c:spPr>
            <a:solidFill>
              <a:srgbClr val="F0E080"/>
            </a:solidFill>
            <a:ln w="9525">
              <a:solidFill>
                <a:schemeClr val="tx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rgbClr val="FFA3D2"/>
            </a:solidFill>
            <a:round/>
          </a:ln>
          <a:effectLst/>
        </c:spPr>
        <c:marker>
          <c:symbol val="circle"/>
          <c:size val="5"/>
          <c:spPr>
            <a:solidFill>
              <a:srgbClr val="FFA3D2"/>
            </a:solidFill>
            <a:ln w="9525">
              <a:solidFill>
                <a:schemeClr val="tx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rgbClr val="92D050"/>
            </a:solidFill>
            <a:round/>
          </a:ln>
          <a:effectLst/>
        </c:spPr>
        <c:marker>
          <c:symbol val="circle"/>
          <c:size val="5"/>
          <c:spPr>
            <a:solidFill>
              <a:srgbClr val="92D050"/>
            </a:solidFill>
            <a:ln w="9525">
              <a:solidFill>
                <a:schemeClr val="tx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rgbClr val="F0E080"/>
            </a:solidFill>
            <a:round/>
          </a:ln>
          <a:effectLst/>
        </c:spPr>
        <c:marker>
          <c:symbol val="circle"/>
          <c:size val="5"/>
          <c:spPr>
            <a:solidFill>
              <a:srgbClr val="F0E080"/>
            </a:solidFill>
            <a:ln w="9525">
              <a:solidFill>
                <a:schemeClr val="tx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rgbClr val="FFA3D2"/>
            </a:solidFill>
            <a:round/>
          </a:ln>
          <a:effectLst/>
        </c:spPr>
        <c:marker>
          <c:symbol val="circle"/>
          <c:size val="5"/>
          <c:spPr>
            <a:solidFill>
              <a:srgbClr val="FFA3D2"/>
            </a:solidFill>
            <a:ln w="9525">
              <a:solidFill>
                <a:schemeClr val="tx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rgbClr val="92D050"/>
            </a:solidFill>
            <a:round/>
          </a:ln>
          <a:effectLst/>
        </c:spPr>
        <c:marker>
          <c:symbol val="circle"/>
          <c:size val="5"/>
          <c:spPr>
            <a:solidFill>
              <a:srgbClr val="92D050"/>
            </a:solidFill>
            <a:ln w="9525">
              <a:solidFill>
                <a:schemeClr val="tx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rgbClr val="FFA3D2"/>
            </a:solidFill>
            <a:round/>
          </a:ln>
          <a:effectLst/>
        </c:spPr>
        <c:marker>
          <c:spPr>
            <a:solidFill>
              <a:srgbClr val="FFA3D2"/>
            </a:solidFill>
            <a:ln w="9525">
              <a:solidFill>
                <a:schemeClr val="tx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rgbClr val="92D050"/>
            </a:solidFill>
            <a:round/>
          </a:ln>
          <a:effectLst/>
        </c:spPr>
        <c:marker>
          <c:spPr>
            <a:solidFill>
              <a:srgbClr val="92D050"/>
            </a:solidFill>
            <a:ln w="9525">
              <a:solidFill>
                <a:schemeClr val="tx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rgbClr val="F0E080"/>
            </a:solidFill>
            <a:round/>
          </a:ln>
          <a:effectLst/>
        </c:spPr>
        <c:marker>
          <c:spPr>
            <a:solidFill>
              <a:srgbClr val="F0E080"/>
            </a:solidFill>
            <a:ln w="9525">
              <a:solidFill>
                <a:schemeClr val="tx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tx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tx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tx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'Extra - Donation by Launch Date'!$B$6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'Extra - Donation by Launch Date'!$A$7:$A$19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'Extra - Donation by Launch Date'!$B$7:$B$19</c:f>
              <c:numCache>
                <c:formatCode>General</c:formatCode>
                <c:ptCount val="12"/>
                <c:pt idx="0">
                  <c:v>1934542</c:v>
                </c:pt>
                <c:pt idx="1">
                  <c:v>3004400</c:v>
                </c:pt>
                <c:pt idx="2">
                  <c:v>3681819</c:v>
                </c:pt>
                <c:pt idx="3">
                  <c:v>2873687</c:v>
                </c:pt>
                <c:pt idx="4">
                  <c:v>2001151</c:v>
                </c:pt>
                <c:pt idx="5">
                  <c:v>2242841</c:v>
                </c:pt>
                <c:pt idx="6">
                  <c:v>2901852</c:v>
                </c:pt>
                <c:pt idx="7">
                  <c:v>2906876</c:v>
                </c:pt>
                <c:pt idx="8">
                  <c:v>1823789</c:v>
                </c:pt>
                <c:pt idx="9">
                  <c:v>2104241</c:v>
                </c:pt>
                <c:pt idx="10">
                  <c:v>3314960</c:v>
                </c:pt>
                <c:pt idx="11">
                  <c:v>2380726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E8-D749-9324-AD108DE45D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3478736"/>
        <c:axId val="853480448"/>
      </c:lineChart>
      <c:catAx>
        <c:axId val="85347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3480448"/>
        <c:crosses val="autoZero"/>
        <c:auto val="1"/>
        <c:lblAlgn val="ctr"/>
        <c:lblOffset val="100"/>
        <c:noMultiLvlLbl val="0"/>
      </c:catAx>
      <c:valAx>
        <c:axId val="85348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3478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[CrowdfundingBook-Abegg.xlsx]Extra - Campaign by Launch Date!PivotTable11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Total Campaigns by Launch Date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noFill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rgbClr val="FFA3D2"/>
            </a:solidFill>
            <a:round/>
          </a:ln>
          <a:effectLst/>
        </c:spPr>
        <c:marker>
          <c:symbol val="circle"/>
          <c:size val="5"/>
          <c:spPr>
            <a:solidFill>
              <a:srgbClr val="FFA3D2"/>
            </a:solidFill>
            <a:ln w="9525">
              <a:solidFill>
                <a:schemeClr val="tx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rgbClr val="05DEEE"/>
            </a:solidFill>
            <a:round/>
          </a:ln>
          <a:effectLst/>
        </c:spPr>
        <c:marker>
          <c:symbol val="circle"/>
          <c:size val="5"/>
          <c:spPr>
            <a:solidFill>
              <a:srgbClr val="05DEEE"/>
            </a:solidFill>
            <a:ln w="9525">
              <a:solidFill>
                <a:schemeClr val="tx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rgbClr val="92D050"/>
            </a:solidFill>
            <a:round/>
          </a:ln>
          <a:effectLst/>
        </c:spPr>
        <c:marker>
          <c:symbol val="circle"/>
          <c:size val="5"/>
          <c:spPr>
            <a:solidFill>
              <a:srgbClr val="92D050"/>
            </a:solidFill>
            <a:ln w="9525">
              <a:solidFill>
                <a:schemeClr val="tx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rgbClr val="F0E080"/>
            </a:solidFill>
            <a:round/>
          </a:ln>
          <a:effectLst/>
        </c:spPr>
        <c:marker>
          <c:symbol val="circle"/>
          <c:size val="5"/>
          <c:spPr>
            <a:solidFill>
              <a:srgbClr val="F0E080"/>
            </a:solidFill>
            <a:ln w="9525">
              <a:solidFill>
                <a:schemeClr val="tx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rgbClr val="F0E080"/>
            </a:solidFill>
            <a:round/>
          </a:ln>
          <a:effectLst/>
        </c:spPr>
        <c:marker>
          <c:symbol val="circle"/>
          <c:size val="5"/>
          <c:spPr>
            <a:solidFill>
              <a:srgbClr val="F0E080"/>
            </a:solidFill>
            <a:ln w="9525">
              <a:solidFill>
                <a:schemeClr val="tx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rgbClr val="FFA3D2"/>
            </a:solidFill>
            <a:round/>
          </a:ln>
          <a:effectLst/>
        </c:spPr>
        <c:marker>
          <c:symbol val="circle"/>
          <c:size val="5"/>
          <c:spPr>
            <a:solidFill>
              <a:srgbClr val="FFA3D2"/>
            </a:solidFill>
            <a:ln w="9525">
              <a:solidFill>
                <a:schemeClr val="tx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rgbClr val="92D050"/>
            </a:solidFill>
            <a:round/>
          </a:ln>
          <a:effectLst/>
        </c:spPr>
        <c:marker>
          <c:symbol val="circle"/>
          <c:size val="5"/>
          <c:spPr>
            <a:solidFill>
              <a:srgbClr val="92D050"/>
            </a:solidFill>
            <a:ln w="9525">
              <a:solidFill>
                <a:schemeClr val="tx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rgbClr val="F0E080"/>
            </a:solidFill>
            <a:round/>
          </a:ln>
          <a:effectLst/>
        </c:spPr>
        <c:marker>
          <c:symbol val="circle"/>
          <c:size val="5"/>
          <c:spPr>
            <a:solidFill>
              <a:srgbClr val="F0E080"/>
            </a:solidFill>
            <a:ln w="9525">
              <a:solidFill>
                <a:schemeClr val="tx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rgbClr val="FFA3D2"/>
            </a:solidFill>
            <a:round/>
          </a:ln>
          <a:effectLst/>
        </c:spPr>
        <c:marker>
          <c:symbol val="circle"/>
          <c:size val="5"/>
          <c:spPr>
            <a:solidFill>
              <a:srgbClr val="FFA3D2"/>
            </a:solidFill>
            <a:ln w="9525">
              <a:solidFill>
                <a:schemeClr val="tx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rgbClr val="92D050"/>
            </a:solidFill>
            <a:round/>
          </a:ln>
          <a:effectLst/>
        </c:spPr>
        <c:marker>
          <c:symbol val="circle"/>
          <c:size val="5"/>
          <c:spPr>
            <a:solidFill>
              <a:srgbClr val="92D050"/>
            </a:solidFill>
            <a:ln w="9525">
              <a:solidFill>
                <a:schemeClr val="tx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rgbClr val="FFA3D2"/>
            </a:solidFill>
            <a:round/>
          </a:ln>
          <a:effectLst/>
        </c:spPr>
        <c:marker>
          <c:spPr>
            <a:solidFill>
              <a:srgbClr val="FFA3D2"/>
            </a:solidFill>
            <a:ln w="9525">
              <a:solidFill>
                <a:schemeClr val="tx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rgbClr val="92D050"/>
            </a:solidFill>
            <a:round/>
          </a:ln>
          <a:effectLst/>
        </c:spPr>
        <c:marker>
          <c:spPr>
            <a:solidFill>
              <a:srgbClr val="92D050"/>
            </a:solidFill>
            <a:ln w="9525">
              <a:solidFill>
                <a:schemeClr val="tx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rgbClr val="F0E080"/>
            </a:solidFill>
            <a:round/>
          </a:ln>
          <a:effectLst/>
        </c:spPr>
        <c:marker>
          <c:spPr>
            <a:solidFill>
              <a:srgbClr val="F0E080"/>
            </a:solidFill>
            <a:ln w="9525">
              <a:solidFill>
                <a:schemeClr val="tx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tx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'Extra - Campaign by Launch Date'!$B$6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'Extra - Campaign by Launch Date'!$A$7:$A$19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'Extra - Campaign by Launch Date'!$B$7:$B$19</c:f>
              <c:numCache>
                <c:formatCode>General</c:formatCode>
                <c:ptCount val="12"/>
                <c:pt idx="0">
                  <c:v>65</c:v>
                </c:pt>
                <c:pt idx="1">
                  <c:v>64</c:v>
                </c:pt>
                <c:pt idx="2">
                  <c:v>64</c:v>
                </c:pt>
                <c:pt idx="3">
                  <c:v>67</c:v>
                </c:pt>
                <c:pt idx="4">
                  <c:v>65</c:v>
                </c:pt>
                <c:pt idx="5">
                  <c:v>62</c:v>
                </c:pt>
                <c:pt idx="6">
                  <c:v>74</c:v>
                </c:pt>
                <c:pt idx="7">
                  <c:v>63</c:v>
                </c:pt>
                <c:pt idx="8">
                  <c:v>60</c:v>
                </c:pt>
                <c:pt idx="9">
                  <c:v>56</c:v>
                </c:pt>
                <c:pt idx="10">
                  <c:v>56</c:v>
                </c:pt>
                <c:pt idx="11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C51-8D47-B132-A91BFE3EC3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3478736"/>
        <c:axId val="853480448"/>
      </c:lineChart>
      <c:catAx>
        <c:axId val="85347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3480448"/>
        <c:crosses val="autoZero"/>
        <c:auto val="1"/>
        <c:lblAlgn val="ctr"/>
        <c:lblOffset val="100"/>
        <c:noMultiLvlLbl val="0"/>
      </c:catAx>
      <c:valAx>
        <c:axId val="853480448"/>
        <c:scaling>
          <c:orientation val="minMax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3478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[CrowdfundingBook-Abegg.xlsx]Extra - % Funded by Category!PivotTable1</c:name>
    <c:fmtId val="1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Percent Funded by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rgbClr val="92D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rgbClr val="FFA3D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rgbClr val="F0E08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rgbClr val="F0E08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rgbClr val="FFA3D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rgbClr val="92D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rgbClr val="F0E08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rgbClr val="FFA3D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rgbClr val="92D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rgbClr val="FFA3D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rgbClr val="92D050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rgbClr val="F0E08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'Extra - % Funded by 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0E080"/>
            </a:solidFill>
            <a:ln>
              <a:noFill/>
            </a:ln>
            <a:effectLst/>
          </c:spPr>
          <c:invertIfNegative val="0"/>
          <c:cat>
            <c:strRef>
              <c:f>'Extra - % Funded by Category'!$A$6:$A$15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'Extra - % Funded by Category'!$B$6:$B$15</c:f>
              <c:numCache>
                <c:formatCode>General</c:formatCode>
                <c:ptCount val="9"/>
                <c:pt idx="0">
                  <c:v>45.85799796217691</c:v>
                </c:pt>
                <c:pt idx="1">
                  <c:v>50.408392077792946</c:v>
                </c:pt>
                <c:pt idx="2">
                  <c:v>27.176538240368028</c:v>
                </c:pt>
                <c:pt idx="4">
                  <c:v>38.49863251167708</c:v>
                </c:pt>
                <c:pt idx="5">
                  <c:v>61.272046992048708</c:v>
                </c:pt>
                <c:pt idx="6">
                  <c:v>35.870274170274172</c:v>
                </c:pt>
                <c:pt idx="7">
                  <c:v>64.476190476190482</c:v>
                </c:pt>
                <c:pt idx="8">
                  <c:v>45.757574357593974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5D0-574D-B3D3-507424A2BD3A}"/>
            </c:ext>
          </c:extLst>
        </c:ser>
        <c:ser>
          <c:idx val="1"/>
          <c:order val="1"/>
          <c:tx>
            <c:strRef>
              <c:f>'Extra - % Funded by 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A3D2"/>
            </a:solidFill>
            <a:ln>
              <a:noFill/>
            </a:ln>
            <a:effectLst/>
          </c:spPr>
          <c:invertIfNegative val="0"/>
          <c:cat>
            <c:strRef>
              <c:f>'Extra - % Funded by Category'!$A$6:$A$15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'Extra - % Funded by Category'!$C$6:$C$15</c:f>
              <c:numCache>
                <c:formatCode>General</c:formatCode>
                <c:ptCount val="9"/>
                <c:pt idx="0">
                  <c:v>51.656023819084616</c:v>
                </c:pt>
                <c:pt idx="1">
                  <c:v>49.629510452741059</c:v>
                </c:pt>
                <c:pt idx="2">
                  <c:v>51.149586294800557</c:v>
                </c:pt>
                <c:pt idx="4">
                  <c:v>45.803202584347162</c:v>
                </c:pt>
                <c:pt idx="5">
                  <c:v>46.863594731884497</c:v>
                </c:pt>
                <c:pt idx="6">
                  <c:v>42.24918012947569</c:v>
                </c:pt>
                <c:pt idx="7">
                  <c:v>56.331660501443309</c:v>
                </c:pt>
                <c:pt idx="8">
                  <c:v>49.562153234302237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5D0-574D-B3D3-507424A2BD3A}"/>
            </c:ext>
          </c:extLst>
        </c:ser>
        <c:ser>
          <c:idx val="2"/>
          <c:order val="2"/>
          <c:tx>
            <c:strRef>
              <c:f>'Extra - % Funded by Category'!$D$4:$D$5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'Extra - % Funded by Category'!$A$6:$A$15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'Extra - % Funded by Category'!$D$6:$D$15</c:f>
              <c:numCache>
                <c:formatCode>General</c:formatCode>
                <c:ptCount val="9"/>
                <c:pt idx="0">
                  <c:v>303.80112947720795</c:v>
                </c:pt>
                <c:pt idx="1">
                  <c:v>392.71729296190188</c:v>
                </c:pt>
                <c:pt idx="2">
                  <c:v>423.27344936844281</c:v>
                </c:pt>
                <c:pt idx="3">
                  <c:v>150.62984968701983</c:v>
                </c:pt>
                <c:pt idx="4">
                  <c:v>329.37500761376879</c:v>
                </c:pt>
                <c:pt idx="5">
                  <c:v>268.191329938487</c:v>
                </c:pt>
                <c:pt idx="6">
                  <c:v>298.00017357431005</c:v>
                </c:pt>
                <c:pt idx="7">
                  <c:v>309.89553919206651</c:v>
                </c:pt>
                <c:pt idx="8">
                  <c:v>314.46430649443374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5D0-574D-B3D3-507424A2BD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712577296"/>
        <c:axId val="712579008"/>
      </c:barChart>
      <c:catAx>
        <c:axId val="712577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579008"/>
        <c:crosses val="autoZero"/>
        <c:auto val="1"/>
        <c:lblAlgn val="ctr"/>
        <c:lblOffset val="100"/>
        <c:noMultiLvlLbl val="0"/>
      </c:catAx>
      <c:valAx>
        <c:axId val="71257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Funded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57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[CrowdfundingBook-Abegg.xlsx]Extra - Goal by Category!PivotTable1</c:name>
    <c:fmtId val="2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Goal per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rgbClr val="92D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rgbClr val="FFA3D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rgbClr val="F0E08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rgbClr val="F0E08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rgbClr val="FFA3D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rgbClr val="92D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rgbClr val="F0E08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rgbClr val="FFA3D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rgbClr val="92D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rgbClr val="FFA3D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rgbClr val="92D050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rgbClr val="F0E08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rgbClr val="F0E08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rgbClr val="FFA3D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rgbClr val="92D050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rgbClr val="F0E08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rgbClr val="FFA3D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rgbClr val="92D050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rgbClr val="FFA3D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rgbClr val="92D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rgbClr val="F0E08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rgbClr val="FFA3D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rgbClr val="92D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rgbClr val="F0E08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'Extra - Goal by 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0E080"/>
            </a:solidFill>
            <a:ln>
              <a:noFill/>
            </a:ln>
            <a:effectLst/>
          </c:spPr>
          <c:invertIfNegative val="0"/>
          <c:cat>
            <c:strRef>
              <c:f>'Extra - Goal by Category'!$A$6:$A$15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'Extra - Goal by Category'!$B$6:$B$15</c:f>
              <c:numCache>
                <c:formatCode>General</c:formatCode>
                <c:ptCount val="9"/>
                <c:pt idx="0">
                  <c:v>102940</c:v>
                </c:pt>
                <c:pt idx="1">
                  <c:v>72666.666666666672</c:v>
                </c:pt>
                <c:pt idx="2">
                  <c:v>173900</c:v>
                </c:pt>
                <c:pt idx="4">
                  <c:v>44683.333333333336</c:v>
                </c:pt>
                <c:pt idx="5">
                  <c:v>181500</c:v>
                </c:pt>
                <c:pt idx="6">
                  <c:v>8350</c:v>
                </c:pt>
                <c:pt idx="7">
                  <c:v>8200</c:v>
                </c:pt>
                <c:pt idx="8">
                  <c:v>58170.588235294119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0F6-1347-8B82-7B20B8377087}"/>
            </c:ext>
          </c:extLst>
        </c:ser>
        <c:ser>
          <c:idx val="1"/>
          <c:order val="1"/>
          <c:tx>
            <c:strRef>
              <c:f>'Extra - Goal by 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A3D2"/>
            </a:solidFill>
            <a:ln>
              <a:noFill/>
            </a:ln>
            <a:effectLst/>
          </c:spPr>
          <c:invertIfNegative val="0"/>
          <c:cat>
            <c:strRef>
              <c:f>'Extra - Goal by Category'!$A$6:$A$15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'Extra - Goal by Category'!$C$6:$C$15</c:f>
              <c:numCache>
                <c:formatCode>General</c:formatCode>
                <c:ptCount val="9"/>
                <c:pt idx="0">
                  <c:v>67521.951219512193</c:v>
                </c:pt>
                <c:pt idx="1">
                  <c:v>67840</c:v>
                </c:pt>
                <c:pt idx="2">
                  <c:v>77610</c:v>
                </c:pt>
                <c:pt idx="4">
                  <c:v>65229.545454545456</c:v>
                </c:pt>
                <c:pt idx="5">
                  <c:v>38466.666666666664</c:v>
                </c:pt>
                <c:pt idx="6">
                  <c:v>89183.333333333328</c:v>
                </c:pt>
                <c:pt idx="7">
                  <c:v>30508.333333333332</c:v>
                </c:pt>
                <c:pt idx="8">
                  <c:v>65583.962264150949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0F6-1347-8B82-7B20B8377087}"/>
            </c:ext>
          </c:extLst>
        </c:ser>
        <c:ser>
          <c:idx val="2"/>
          <c:order val="2"/>
          <c:tx>
            <c:strRef>
              <c:f>'Extra - Goal by Category'!$D$4:$D$5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'Extra - Goal by Category'!$A$6:$A$15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'Extra - Goal by Category'!$D$6:$D$15</c:f>
              <c:numCache>
                <c:formatCode>General</c:formatCode>
                <c:ptCount val="9"/>
                <c:pt idx="0">
                  <c:v>26053.947368421053</c:v>
                </c:pt>
                <c:pt idx="1">
                  <c:v>20182.352941176472</c:v>
                </c:pt>
                <c:pt idx="2">
                  <c:v>23800</c:v>
                </c:pt>
                <c:pt idx="3">
                  <c:v>6425</c:v>
                </c:pt>
                <c:pt idx="4">
                  <c:v>30231.645569620254</c:v>
                </c:pt>
                <c:pt idx="5">
                  <c:v>15329.166666666666</c:v>
                </c:pt>
                <c:pt idx="6">
                  <c:v>18675</c:v>
                </c:pt>
                <c:pt idx="7">
                  <c:v>21042.222222222223</c:v>
                </c:pt>
                <c:pt idx="8">
                  <c:v>28832.214765100671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0F6-1347-8B82-7B20B83770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712577296"/>
        <c:axId val="712579008"/>
      </c:barChart>
      <c:catAx>
        <c:axId val="712577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579008"/>
        <c:crosses val="autoZero"/>
        <c:auto val="1"/>
        <c:lblAlgn val="ctr"/>
        <c:lblOffset val="100"/>
        <c:noMultiLvlLbl val="0"/>
      </c:catAx>
      <c:valAx>
        <c:axId val="71257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57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[CrowdfundingBook-Abegg.xlsx]Extra - Duration by Outcome!PivotTable1</c:name>
    <c:fmtId val="1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Length of Campaign (Days)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rgbClr val="92D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rgbClr val="FFA3D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rgbClr val="F0E08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rgbClr val="F0E08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rgbClr val="FFA3D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rgbClr val="92D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rgbClr val="F0E08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rgbClr val="FFA3D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rgbClr val="92D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rgbClr val="F0E080"/>
          </a:solidFill>
          <a:ln>
            <a:noFill/>
          </a:ln>
          <a:effectLst/>
        </c:spPr>
      </c:pivotFmt>
      <c:pivotFmt>
        <c:idx val="35"/>
        <c:spPr>
          <a:solidFill>
            <a:srgbClr val="FFA3D2"/>
          </a:solidFill>
          <a:ln>
            <a:noFill/>
          </a:ln>
          <a:effectLst/>
        </c:spPr>
      </c:pivotFmt>
      <c:pivotFmt>
        <c:idx val="36"/>
        <c:spPr>
          <a:solidFill>
            <a:srgbClr val="92D050"/>
          </a:solidFill>
          <a:ln>
            <a:noFill/>
          </a:ln>
          <a:effectLst/>
        </c:spP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'Extra - Duration by Outcome'!$B$3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0E08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DCE8-CF40-95D5-58C58FD02FA3}"/>
              </c:ext>
            </c:extLst>
          </c:dPt>
          <c:dPt>
            <c:idx val="1"/>
            <c:invertIfNegative val="0"/>
            <c:bubble3D val="0"/>
            <c:spPr>
              <a:solidFill>
                <a:srgbClr val="FFA3D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CE8-CF40-95D5-58C58FD02FA3}"/>
              </c:ext>
            </c:extLst>
          </c:dPt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DCE8-CF40-95D5-58C58FD02FA3}"/>
              </c:ext>
            </c:extLst>
          </c:dPt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'Extra - Duration by Outcome'!$A$4:$A$7</c:f>
              <c:strCache>
                <c:ptCount val="3"/>
                <c:pt idx="0">
                  <c:v>canceled</c:v>
                </c:pt>
                <c:pt idx="1">
                  <c:v>failed</c:v>
                </c:pt>
                <c:pt idx="2">
                  <c:v>successful</c:v>
                </c:pt>
              </c:strCache>
            </c:strRef>
          </c:cat>
          <c:val>
            <c:numRef>
              <c:f>'Extra - Duration by Outcome'!$B$4:$B$7</c:f>
              <c:numCache>
                <c:formatCode>General</c:formatCode>
                <c:ptCount val="3"/>
                <c:pt idx="0">
                  <c:v>16.017543859649123</c:v>
                </c:pt>
                <c:pt idx="1">
                  <c:v>16.708791208791208</c:v>
                </c:pt>
                <c:pt idx="2">
                  <c:v>16.130973451327435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CE8-CF40-95D5-58C58FD02F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712577296"/>
        <c:axId val="712579008"/>
      </c:barChart>
      <c:catAx>
        <c:axId val="712577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579008"/>
        <c:crosses val="autoZero"/>
        <c:auto val="1"/>
        <c:lblAlgn val="ctr"/>
        <c:lblOffset val="100"/>
        <c:noMultiLvlLbl val="0"/>
      </c:catAx>
      <c:valAx>
        <c:axId val="71257900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57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  <cx:data id="1">
      <cx:numDim type="val">
        <cx:f>_xlchart.v1.1</cx:f>
      </cx:numDim>
    </cx:data>
  </cx:chartData>
  <cx:chart>
    <cx:title pos="t" align="ctr" overlay="0">
      <cx:tx>
        <cx:txData>
          <cx:v>Box and Whisker Plot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Box and Whisker Plot</a:t>
          </a:r>
        </a:p>
      </cx:txPr>
    </cx:title>
    <cx:plotArea>
      <cx:plotAreaRegion>
        <cx:series layoutId="boxWhisker" uniqueId="{1D53A013-E5F2-994C-8AC2-CF079E7472F2}">
          <cx:tx>
            <cx:txData>
              <cx:f/>
              <cx:v>sucessful</cx:v>
            </cx:txData>
          </cx:tx>
          <cx:spPr>
            <a:solidFill>
              <a:srgbClr val="92D050"/>
            </a:solidFill>
          </cx:spPr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8577340C-FD6B-F84C-BF0F-704A1DCC7E77}">
          <cx:tx>
            <cx:txData>
              <cx:f/>
              <cx:v>failed</cx:v>
            </cx:txData>
          </cx:tx>
          <cx:spPr>
            <a:solidFill>
              <a:srgbClr val="FFA3D2"/>
            </a:solidFill>
          </cx:spPr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title>
          <cx:tx>
            <cx:txData>
              <cx:v>Nmber of Backers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Nmber of Backers</a:t>
              </a:r>
            </a:p>
          </cx:txPr>
        </cx:title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292100</xdr:colOff>
      <xdr:row>0</xdr:row>
      <xdr:rowOff>88900</xdr:rowOff>
    </xdr:from>
    <xdr:to>
      <xdr:col>15</xdr:col>
      <xdr:colOff>88900</xdr:colOff>
      <xdr:row>17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41E8C3-495E-1801-EE64-8FB06198DC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584200</xdr:colOff>
      <xdr:row>1</xdr:row>
      <xdr:rowOff>127000</xdr:rowOff>
    </xdr:from>
    <xdr:to>
      <xdr:col>7</xdr:col>
      <xdr:colOff>76200</xdr:colOff>
      <xdr:row>15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B98074-AA61-B748-8A46-63622D9711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1</xdr:row>
      <xdr:rowOff>38100</xdr:rowOff>
    </xdr:from>
    <xdr:to>
      <xdr:col>5</xdr:col>
      <xdr:colOff>635000</xdr:colOff>
      <xdr:row>14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721F6E-B3F2-F14A-856B-B92382AC7C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368300</xdr:colOff>
      <xdr:row>4</xdr:row>
      <xdr:rowOff>50800</xdr:rowOff>
    </xdr:from>
    <xdr:to>
      <xdr:col>12</xdr:col>
      <xdr:colOff>673100</xdr:colOff>
      <xdr:row>21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F3EB5E-0859-E449-A3E9-105E7549D3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292100</xdr:colOff>
      <xdr:row>4</xdr:row>
      <xdr:rowOff>139700</xdr:rowOff>
    </xdr:from>
    <xdr:to>
      <xdr:col>15</xdr:col>
      <xdr:colOff>393700</xdr:colOff>
      <xdr:row>22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568DC5-9A91-6B47-9458-9756749737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457200</xdr:colOff>
      <xdr:row>3</xdr:row>
      <xdr:rowOff>50800</xdr:rowOff>
    </xdr:from>
    <xdr:to>
      <xdr:col>10</xdr:col>
      <xdr:colOff>800100</xdr:colOff>
      <xdr:row>17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E2A3AA-E53A-4000-1920-FF8F710FA1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781050</xdr:colOff>
      <xdr:row>13</xdr:row>
      <xdr:rowOff>152400</xdr:rowOff>
    </xdr:from>
    <xdr:to>
      <xdr:col>7</xdr:col>
      <xdr:colOff>1524000</xdr:colOff>
      <xdr:row>30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072366-9685-61A4-18F3-A12F302968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12</xdr:row>
      <xdr:rowOff>88900</xdr:rowOff>
    </xdr:from>
    <xdr:to>
      <xdr:col>8</xdr:col>
      <xdr:colOff>241300</xdr:colOff>
      <xdr:row>38</xdr:row>
      <xdr:rowOff>190500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6F1E8DD7-651E-209D-EE7F-E8064D2A2F8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835650" y="2527300"/>
              <a:ext cx="3168650" cy="5384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520700</xdr:colOff>
      <xdr:row>4</xdr:row>
      <xdr:rowOff>177800</xdr:rowOff>
    </xdr:from>
    <xdr:to>
      <xdr:col>7</xdr:col>
      <xdr:colOff>469900</xdr:colOff>
      <xdr:row>19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855077-F16A-7949-A2C2-B5C237D8FF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520700</xdr:colOff>
      <xdr:row>4</xdr:row>
      <xdr:rowOff>177800</xdr:rowOff>
    </xdr:from>
    <xdr:to>
      <xdr:col>6</xdr:col>
      <xdr:colOff>1041400</xdr:colOff>
      <xdr:row>19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011170-7535-7240-B85B-F78903EC94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482600</xdr:colOff>
      <xdr:row>1</xdr:row>
      <xdr:rowOff>25400</xdr:rowOff>
    </xdr:from>
    <xdr:to>
      <xdr:col>14</xdr:col>
      <xdr:colOff>114300</xdr:colOff>
      <xdr:row>18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C1890B-F473-EC47-9FE1-B1792BF08E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482600</xdr:colOff>
      <xdr:row>1</xdr:row>
      <xdr:rowOff>25400</xdr:rowOff>
    </xdr:from>
    <xdr:to>
      <xdr:col>13</xdr:col>
      <xdr:colOff>355600</xdr:colOff>
      <xdr:row>18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D46848-70DE-6849-B8DC-76F88CA714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460.433024999998" createdVersion="8" refreshedVersion="8" minRefreshableVersion="3" recordCount="1000" xr:uid="{4DE9EE50-F31D-2445-9587-1BC8C05592D1}">
  <cacheSource type="worksheet">
    <worksheetSource name="Table2"/>
  </cacheSource>
  <cacheFields count="24">
    <cacheField name="id" numFmtId="0">
      <sharedItems containsSemiMixedTypes="0" containsString="0" containsNumber="1" containsInteger="1" minValue="0" maxValue="999"/>
    </cacheField>
    <cacheField name="name" numFmtId="0">
      <sharedItems containsNonDate="0"/>
    </cacheField>
    <cacheField name="blurb" numFmtId="0">
      <sharedItems containsNonDate="0"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5"/>
    </cacheField>
    <cacheField name="outcome" numFmtId="0">
      <sharedItems containsNonDate="0"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2">
      <sharedItems containsSemiMixedTypes="0" containsString="0" containsNumber="1" minValue="0" maxValue="113.17073170731707"/>
    </cacheField>
    <cacheField name="country" numFmtId="0">
      <sharedItems containsNonDate="0" count="7">
        <s v="CA"/>
        <s v="US"/>
        <s v="AU"/>
        <s v="DK"/>
        <s v="GB"/>
        <s v="CH"/>
        <s v="IT"/>
      </sharedItems>
    </cacheField>
    <cacheField name="currency" numFmtId="0">
      <sharedItems containsNonDate="0"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3"/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Length of Campaign" numFmtId="1">
      <sharedItems containsSemiMixedTypes="0" containsString="0" containsNumber="1" containsInteger="1" minValue="1" maxValue="60"/>
    </cacheField>
    <cacheField name="staff_pick" numFmtId="0">
      <sharedItems containsNonDate="0"/>
    </cacheField>
    <cacheField name="spotlight" numFmtId="0">
      <sharedItems containsNonDate="0"/>
    </cacheField>
    <cacheField name="category &amp; sub-category" numFmtId="0">
      <sharedItems containsNonDate="0"/>
    </cacheField>
    <cacheField name="Parent Category" numFmtId="0">
      <sharedItems containsNonDate="0"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ntainsNonDate="0"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Months (Date Created Conversion)" numFmtId="0" databaseField="0">
      <fieldGroup base="13">
        <rangePr groupBy="months" startDate="2010-01-09T06:00:00" endDate="2020-01-27T06:00:00"/>
        <groupItems count="14">
          <s v="&lt;1/9/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Quarters (Date Created Conversion)" numFmtId="0" databaseField="0">
      <fieldGroup base="13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 (Date Created Conversion)" numFmtId="0" databaseField="0">
      <fieldGroup base="13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x v="0"/>
    <d v="2015-12-15T06:00:00"/>
    <n v="18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1898734177209"/>
    <x v="1"/>
    <s v="USD"/>
    <n v="1408424400"/>
    <n v="1408597200"/>
    <x v="1"/>
    <d v="2014-08-21T05:00:00"/>
    <n v="3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87"/>
    <x v="1"/>
    <n v="1425"/>
    <n v="100.01614035087719"/>
    <x v="2"/>
    <s v="AUD"/>
    <n v="1384668000"/>
    <n v="1384840800"/>
    <x v="2"/>
    <d v="2013-11-19T06:00:00"/>
    <n v="3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74"/>
    <x v="0"/>
    <n v="24"/>
    <n v="103.20833333333333"/>
    <x v="1"/>
    <s v="USD"/>
    <n v="1565499600"/>
    <n v="1568955600"/>
    <x v="3"/>
    <d v="2019-09-20T05:00:00"/>
    <n v="41"/>
    <b v="0"/>
    <b v="0"/>
    <s v="music/rock"/>
    <x v="1"/>
    <x v="1"/>
  </r>
  <r>
    <n v="4"/>
    <s v="Larson-Little"/>
    <s v="Proactive foreground core"/>
    <n v="7600"/>
    <n v="5265"/>
    <n v="69.276315789473685"/>
    <x v="0"/>
    <n v="53"/>
    <n v="99.339622641509436"/>
    <x v="1"/>
    <s v="USD"/>
    <n v="1547964000"/>
    <n v="1548309600"/>
    <x v="4"/>
    <d v="2019-01-24T06:00:00"/>
    <n v="5"/>
    <b v="0"/>
    <b v="0"/>
    <s v="theater/plays"/>
    <x v="3"/>
    <x v="3"/>
  </r>
  <r>
    <n v="5"/>
    <s v="Harris Group"/>
    <s v="Open-source optimizing database"/>
    <n v="7600"/>
    <n v="13195"/>
    <n v="173.61842105263159"/>
    <x v="1"/>
    <n v="174"/>
    <n v="75.833333333333329"/>
    <x v="3"/>
    <s v="DKK"/>
    <n v="1346130000"/>
    <n v="1347080400"/>
    <x v="5"/>
    <d v="2012-09-08T05:00:00"/>
    <n v="12"/>
    <b v="0"/>
    <b v="0"/>
    <s v="theater/plays"/>
    <x v="3"/>
    <x v="3"/>
  </r>
  <r>
    <n v="6"/>
    <s v="Ortiz, Coleman and Mitchell"/>
    <s v="Operative upward-trending algorithm"/>
    <n v="5200"/>
    <n v="1090"/>
    <n v="20.96153846153846"/>
    <x v="0"/>
    <n v="18"/>
    <n v="60.555555555555557"/>
    <x v="4"/>
    <s v="GBP"/>
    <n v="1505278800"/>
    <n v="1505365200"/>
    <x v="6"/>
    <d v="2017-09-14T05:00:00"/>
    <n v="2"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n v="227"/>
    <n v="64.93832599118943"/>
    <x v="3"/>
    <s v="DKK"/>
    <n v="1439442000"/>
    <n v="1439614800"/>
    <x v="7"/>
    <d v="2015-08-15T05:00:00"/>
    <n v="3"/>
    <b v="0"/>
    <b v="0"/>
    <s v="theater/plays"/>
    <x v="3"/>
    <x v="3"/>
  </r>
  <r>
    <n v="8"/>
    <s v="Nunez-Richards"/>
    <s v="Exclusive attitude-oriented intranet"/>
    <n v="110100"/>
    <n v="21946"/>
    <n v="19.932788374205266"/>
    <x v="2"/>
    <n v="708"/>
    <n v="30.997175141242938"/>
    <x v="3"/>
    <s v="DKK"/>
    <n v="1281330000"/>
    <n v="1281502800"/>
    <x v="8"/>
    <d v="2010-08-11T05:00:00"/>
    <n v="3"/>
    <b v="0"/>
    <b v="0"/>
    <s v="theater/plays"/>
    <x v="3"/>
    <x v="3"/>
  </r>
  <r>
    <n v="9"/>
    <s v="Rangel, Holt and Jones"/>
    <s v="Open-source fresh-thinking model"/>
    <n v="6200"/>
    <n v="3208"/>
    <n v="51.741935483870968"/>
    <x v="0"/>
    <n v="44"/>
    <n v="72.909090909090907"/>
    <x v="1"/>
    <s v="USD"/>
    <n v="1379566800"/>
    <n v="1383804000"/>
    <x v="9"/>
    <d v="2013-11-07T06:00:00"/>
    <n v="50"/>
    <b v="0"/>
    <b v="0"/>
    <s v="music/electric music"/>
    <x v="1"/>
    <x v="5"/>
  </r>
  <r>
    <n v="10"/>
    <s v="Green Ltd"/>
    <s v="Monitored empowering installation"/>
    <n v="5200"/>
    <n v="13838"/>
    <n v="266.11538461538464"/>
    <x v="1"/>
    <n v="220"/>
    <n v="62.9"/>
    <x v="1"/>
    <s v="USD"/>
    <n v="1281762000"/>
    <n v="1285909200"/>
    <x v="10"/>
    <d v="2010-10-01T05:00:00"/>
    <n v="49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n v="27"/>
    <n v="112.22222222222223"/>
    <x v="1"/>
    <s v="USD"/>
    <n v="1285045200"/>
    <n v="1285563600"/>
    <x v="11"/>
    <d v="2010-09-27T05:00:00"/>
    <n v="7"/>
    <b v="0"/>
    <b v="1"/>
    <s v="theater/plays"/>
    <x v="3"/>
    <x v="3"/>
  </r>
  <r>
    <n v="12"/>
    <s v="Kim Ltd"/>
    <s v="Assimilated hybrid intranet"/>
    <n v="6300"/>
    <n v="5629"/>
    <n v="89.349206349206355"/>
    <x v="0"/>
    <n v="55"/>
    <n v="102.34545454545454"/>
    <x v="1"/>
    <s v="USD"/>
    <n v="1571720400"/>
    <n v="1572411600"/>
    <x v="12"/>
    <d v="2019-10-30T05:00:00"/>
    <n v="9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2"/>
    <x v="1"/>
    <n v="98"/>
    <n v="105.05102040816327"/>
    <x v="1"/>
    <s v="USD"/>
    <n v="1465621200"/>
    <n v="1466658000"/>
    <x v="13"/>
    <d v="2016-06-23T05:00:00"/>
    <n v="13"/>
    <b v="0"/>
    <b v="0"/>
    <s v="music/indie rock"/>
    <x v="1"/>
    <x v="7"/>
  </r>
  <r>
    <n v="14"/>
    <s v="Rodriguez, Rose and Stewart"/>
    <s v="Cloned directional synergy"/>
    <n v="28200"/>
    <n v="18829"/>
    <n v="66.769503546099287"/>
    <x v="0"/>
    <n v="200"/>
    <n v="94.144999999999996"/>
    <x v="1"/>
    <s v="USD"/>
    <n v="1331013600"/>
    <n v="1333342800"/>
    <x v="14"/>
    <d v="2012-04-02T05:00:00"/>
    <n v="28"/>
    <b v="0"/>
    <b v="0"/>
    <s v="music/indie rock"/>
    <x v="1"/>
    <x v="7"/>
  </r>
  <r>
    <n v="15"/>
    <s v="Wright, Hunt and Rowe"/>
    <s v="Extended eco-centric pricing structure"/>
    <n v="81200"/>
    <n v="38414"/>
    <n v="47.307881773399018"/>
    <x v="0"/>
    <n v="452"/>
    <n v="84.986725663716811"/>
    <x v="1"/>
    <s v="USD"/>
    <n v="1575957600"/>
    <n v="1576303200"/>
    <x v="15"/>
    <d v="2019-12-14T06:00:00"/>
    <n v="5"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n v="100"/>
    <n v="110.41"/>
    <x v="1"/>
    <s v="USD"/>
    <n v="1390370400"/>
    <n v="1392271200"/>
    <x v="16"/>
    <d v="2014-02-13T06:00:00"/>
    <n v="23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n v="1249"/>
    <n v="107.96236989591674"/>
    <x v="1"/>
    <s v="USD"/>
    <n v="1294812000"/>
    <n v="1294898400"/>
    <x v="17"/>
    <d v="2011-01-13T06:00:00"/>
    <n v="2"/>
    <b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n v="135"/>
    <n v="45.103703703703701"/>
    <x v="1"/>
    <s v="USD"/>
    <n v="1536382800"/>
    <n v="1537074000"/>
    <x v="18"/>
    <d v="2018-09-16T05:00:00"/>
    <n v="9"/>
    <b v="0"/>
    <b v="0"/>
    <s v="theater/plays"/>
    <x v="3"/>
    <x v="3"/>
  </r>
  <r>
    <n v="19"/>
    <s v="Perez-Hess"/>
    <s v="Down-sized cohesive archive"/>
    <n v="62500"/>
    <n v="30331"/>
    <n v="48.529600000000002"/>
    <x v="0"/>
    <n v="674"/>
    <n v="45.001483679525222"/>
    <x v="1"/>
    <s v="USD"/>
    <n v="1551679200"/>
    <n v="1553490000"/>
    <x v="19"/>
    <d v="2019-03-25T05:00:00"/>
    <n v="22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n v="1396"/>
    <n v="105.97134670487107"/>
    <x v="1"/>
    <s v="USD"/>
    <n v="1406523600"/>
    <n v="1406523600"/>
    <x v="20"/>
    <d v="2014-07-28T05:00:00"/>
    <n v="1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n v="558"/>
    <n v="69.055555555555557"/>
    <x v="1"/>
    <s v="USD"/>
    <n v="1313384400"/>
    <n v="1316322000"/>
    <x v="21"/>
    <d v="2011-09-18T05:00:00"/>
    <n v="35"/>
    <b v="0"/>
    <b v="0"/>
    <s v="theater/plays"/>
    <x v="3"/>
    <x v="3"/>
  </r>
  <r>
    <n v="22"/>
    <s v="Collier Inc"/>
    <s v="Enhanced dynamic definition"/>
    <n v="59100"/>
    <n v="75690"/>
    <n v="128.07106598984771"/>
    <x v="1"/>
    <n v="890"/>
    <n v="85.044943820224717"/>
    <x v="1"/>
    <s v="USD"/>
    <n v="1522731600"/>
    <n v="1524027600"/>
    <x v="22"/>
    <d v="2018-04-18T05:00:00"/>
    <n v="16"/>
    <b v="0"/>
    <b v="0"/>
    <s v="theater/plays"/>
    <x v="3"/>
    <x v="3"/>
  </r>
  <r>
    <n v="23"/>
    <s v="Gray-Jenkins"/>
    <s v="Devolved next generation adapter"/>
    <n v="4500"/>
    <n v="14942"/>
    <n v="332.04444444444442"/>
    <x v="1"/>
    <n v="142"/>
    <n v="105.22535211267606"/>
    <x v="4"/>
    <s v="GBP"/>
    <n v="1550124000"/>
    <n v="1554699600"/>
    <x v="23"/>
    <d v="2019-04-08T05:00:00"/>
    <n v="54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n v="2673"/>
    <n v="39.003741114852225"/>
    <x v="1"/>
    <s v="USD"/>
    <n v="1403326800"/>
    <n v="1403499600"/>
    <x v="24"/>
    <d v="2014-06-23T05:00:00"/>
    <n v="3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n v="163"/>
    <n v="73.030674846625772"/>
    <x v="1"/>
    <s v="USD"/>
    <n v="1305694800"/>
    <n v="1307422800"/>
    <x v="25"/>
    <d v="2011-06-07T05:00:00"/>
    <n v="21"/>
    <b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n v="1480"/>
    <n v="35.009459459459457"/>
    <x v="1"/>
    <s v="USD"/>
    <n v="1533013200"/>
    <n v="1535346000"/>
    <x v="26"/>
    <d v="2018-08-27T05:00:00"/>
    <n v="28"/>
    <b v="0"/>
    <b v="0"/>
    <s v="theater/plays"/>
    <x v="3"/>
    <x v="3"/>
  </r>
  <r>
    <n v="27"/>
    <s v="Best, Carr and Williams"/>
    <s v="Diverse transitional migration"/>
    <n v="2000"/>
    <n v="1599"/>
    <n v="79.95"/>
    <x v="0"/>
    <n v="15"/>
    <n v="106.6"/>
    <x v="1"/>
    <s v="USD"/>
    <n v="1443848400"/>
    <n v="1444539600"/>
    <x v="27"/>
    <d v="2015-10-11T05:00:00"/>
    <n v="9"/>
    <b v="0"/>
    <b v="0"/>
    <s v="music/rock"/>
    <x v="1"/>
    <x v="1"/>
  </r>
  <r>
    <n v="28"/>
    <s v="Campbell, Brown and Powell"/>
    <s v="Synchronized global task-force"/>
    <n v="130800"/>
    <n v="137635"/>
    <n v="105.22553516819572"/>
    <x v="1"/>
    <n v="2220"/>
    <n v="61.997747747747745"/>
    <x v="1"/>
    <s v="USD"/>
    <n v="1265695200"/>
    <n v="1267682400"/>
    <x v="28"/>
    <d v="2010-03-04T06:00:00"/>
    <n v="24"/>
    <b v="0"/>
    <b v="1"/>
    <s v="theater/plays"/>
    <x v="3"/>
    <x v="3"/>
  </r>
  <r>
    <n v="29"/>
    <s v="Johnson, Parker and Haynes"/>
    <s v="Focused 6thgeneration forecast"/>
    <n v="45900"/>
    <n v="150965"/>
    <n v="328.89978213507624"/>
    <x v="1"/>
    <n v="1606"/>
    <n v="94.000622665006233"/>
    <x v="5"/>
    <s v="CHF"/>
    <n v="1532062800"/>
    <n v="1535518800"/>
    <x v="29"/>
    <d v="2018-08-29T05:00:00"/>
    <n v="41"/>
    <b v="0"/>
    <b v="0"/>
    <s v="film &amp; video/shorts"/>
    <x v="4"/>
    <x v="12"/>
  </r>
  <r>
    <n v="30"/>
    <s v="Clark-Cooke"/>
    <s v="Down-sized analyzing challenge"/>
    <n v="9000"/>
    <n v="14455"/>
    <n v="160.61111111111111"/>
    <x v="1"/>
    <n v="129"/>
    <n v="112.05426356589147"/>
    <x v="1"/>
    <s v="USD"/>
    <n v="1558674000"/>
    <n v="1559106000"/>
    <x v="30"/>
    <d v="2019-05-29T05:00:00"/>
    <n v="6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08849557522126"/>
    <x v="4"/>
    <s v="GBP"/>
    <n v="1451973600"/>
    <n v="1454392800"/>
    <x v="31"/>
    <d v="2016-02-02T06:00:00"/>
    <n v="29"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n v="2307"/>
    <n v="38.004334633723452"/>
    <x v="6"/>
    <s v="EUR"/>
    <n v="1515564000"/>
    <n v="1517896800"/>
    <x v="32"/>
    <d v="2018-02-06T06:00:00"/>
    <n v="28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n v="5419"/>
    <n v="35.000184535892231"/>
    <x v="1"/>
    <s v="USD"/>
    <n v="1412485200"/>
    <n v="1415685600"/>
    <x v="33"/>
    <d v="2014-11-11T06:00:00"/>
    <n v="38"/>
    <b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n v="165"/>
    <n v="85"/>
    <x v="1"/>
    <s v="USD"/>
    <n v="1490245200"/>
    <n v="1490677200"/>
    <x v="34"/>
    <d v="2017-03-28T05:00:00"/>
    <n v="6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n v="1965"/>
    <n v="95.993893129770996"/>
    <x v="3"/>
    <s v="DKK"/>
    <n v="1547877600"/>
    <n v="1551506400"/>
    <x v="35"/>
    <d v="2019-03-02T06:00:00"/>
    <n v="43"/>
    <b v="0"/>
    <b v="1"/>
    <s v="film &amp; video/drama"/>
    <x v="4"/>
    <x v="6"/>
  </r>
  <r>
    <n v="36"/>
    <s v="Jackson-Lewis"/>
    <s v="Monitored multi-state encryption"/>
    <n v="700"/>
    <n v="1101"/>
    <n v="157.28571428571428"/>
    <x v="1"/>
    <n v="16"/>
    <n v="68.8125"/>
    <x v="1"/>
    <s v="USD"/>
    <n v="1298700000"/>
    <n v="1300856400"/>
    <x v="36"/>
    <d v="2011-03-23T05:00:00"/>
    <n v="26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n v="107"/>
    <n v="105.97196261682242"/>
    <x v="1"/>
    <s v="USD"/>
    <n v="1570338000"/>
    <n v="1573192800"/>
    <x v="37"/>
    <d v="2019-11-08T06:00:00"/>
    <n v="34"/>
    <b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n v="134"/>
    <n v="75.261194029850742"/>
    <x v="1"/>
    <s v="USD"/>
    <n v="1287378000"/>
    <n v="1287810000"/>
    <x v="38"/>
    <d v="2010-10-23T05:00:00"/>
    <n v="6"/>
    <b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n v="88"/>
    <n v="57.125"/>
    <x v="3"/>
    <s v="DKK"/>
    <n v="1361772000"/>
    <n v="1362978000"/>
    <x v="39"/>
    <d v="2013-03-11T05:00:00"/>
    <n v="15"/>
    <b v="0"/>
    <b v="0"/>
    <s v="theater/plays"/>
    <x v="3"/>
    <x v="3"/>
  </r>
  <r>
    <n v="40"/>
    <s v="Garcia, Garcia and Lopez"/>
    <s v="Reduced stable middleware"/>
    <n v="8800"/>
    <n v="14878"/>
    <n v="169.06818181818181"/>
    <x v="1"/>
    <n v="198"/>
    <n v="75.141414141414145"/>
    <x v="1"/>
    <s v="USD"/>
    <n v="1275714000"/>
    <n v="1277355600"/>
    <x v="40"/>
    <d v="2010-06-24T05:00:00"/>
    <n v="20"/>
    <b v="0"/>
    <b v="1"/>
    <s v="technology/wearables"/>
    <x v="2"/>
    <x v="8"/>
  </r>
  <r>
    <n v="41"/>
    <s v="Watts Group"/>
    <s v="Universal 5thgeneration neural-net"/>
    <n v="5600"/>
    <n v="11924"/>
    <n v="212.92857142857142"/>
    <x v="1"/>
    <n v="111"/>
    <n v="107.42342342342343"/>
    <x v="6"/>
    <s v="EUR"/>
    <n v="1346734800"/>
    <n v="1348981200"/>
    <x v="41"/>
    <d v="2012-09-30T05:00:00"/>
    <n v="27"/>
    <b v="0"/>
    <b v="1"/>
    <s v="music/rock"/>
    <x v="1"/>
    <x v="1"/>
  </r>
  <r>
    <n v="42"/>
    <s v="Werner-Bryant"/>
    <s v="Virtual uniform frame"/>
    <n v="1800"/>
    <n v="7991"/>
    <n v="443.94444444444446"/>
    <x v="1"/>
    <n v="222"/>
    <n v="35.995495495495497"/>
    <x v="1"/>
    <s v="USD"/>
    <n v="1309755600"/>
    <n v="1310533200"/>
    <x v="42"/>
    <d v="2011-07-13T05:00:00"/>
    <n v="10"/>
    <b v="0"/>
    <b v="0"/>
    <s v="food/food trucks"/>
    <x v="0"/>
    <x v="0"/>
  </r>
  <r>
    <n v="43"/>
    <s v="Schmitt-Mendoza"/>
    <s v="Profound explicit paradigm"/>
    <n v="90200"/>
    <n v="167717"/>
    <n v="185.9390243902439"/>
    <x v="1"/>
    <n v="6212"/>
    <n v="26.998873148744366"/>
    <x v="1"/>
    <s v="USD"/>
    <n v="1406178000"/>
    <n v="1407560400"/>
    <x v="43"/>
    <d v="2014-08-09T05:00:00"/>
    <n v="17"/>
    <b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n v="98"/>
    <n v="107.56122448979592"/>
    <x v="3"/>
    <s v="DKK"/>
    <n v="1552798800"/>
    <n v="1552885200"/>
    <x v="44"/>
    <d v="2019-03-18T05:00:00"/>
    <n v="2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n v="48"/>
    <n v="94.375"/>
    <x v="1"/>
    <s v="USD"/>
    <n v="1478062800"/>
    <n v="1479362400"/>
    <x v="45"/>
    <d v="2016-11-17T06:00:00"/>
    <n v="16"/>
    <b v="0"/>
    <b v="1"/>
    <s v="theater/plays"/>
    <x v="3"/>
    <x v="3"/>
  </r>
  <r>
    <n v="46"/>
    <s v="Vaughn, Hunt and Caldwell"/>
    <s v="Virtual grid-enabled task-force"/>
    <n v="3700"/>
    <n v="4247"/>
    <n v="114.78378378378379"/>
    <x v="1"/>
    <n v="92"/>
    <n v="46.163043478260867"/>
    <x v="1"/>
    <s v="USD"/>
    <n v="1278565200"/>
    <n v="1280552400"/>
    <x v="46"/>
    <d v="2010-07-31T05:00:00"/>
    <n v="24"/>
    <b v="0"/>
    <b v="0"/>
    <s v="music/rock"/>
    <x v="1"/>
    <x v="1"/>
  </r>
  <r>
    <n v="47"/>
    <s v="Bennett and Sons"/>
    <s v="Function-based multi-state software"/>
    <n v="1500"/>
    <n v="7129"/>
    <n v="475.26666666666665"/>
    <x v="1"/>
    <n v="149"/>
    <n v="47.845637583892618"/>
    <x v="1"/>
    <s v="USD"/>
    <n v="1396069200"/>
    <n v="1398661200"/>
    <x v="47"/>
    <d v="2014-04-28T05:00:00"/>
    <n v="31"/>
    <b v="0"/>
    <b v="0"/>
    <s v="theater/plays"/>
    <x v="3"/>
    <x v="3"/>
  </r>
  <r>
    <n v="48"/>
    <s v="Lamb Inc"/>
    <s v="Optimized leadingedge concept"/>
    <n v="33300"/>
    <n v="128862"/>
    <n v="386.97297297297297"/>
    <x v="1"/>
    <n v="2431"/>
    <n v="53.007815713698065"/>
    <x v="1"/>
    <s v="USD"/>
    <n v="1435208400"/>
    <n v="1436245200"/>
    <x v="48"/>
    <d v="2015-07-07T05:00:00"/>
    <n v="13"/>
    <b v="0"/>
    <b v="0"/>
    <s v="theater/plays"/>
    <x v="3"/>
    <x v="3"/>
  </r>
  <r>
    <n v="49"/>
    <s v="Casey-Kelly"/>
    <s v="Sharable holistic interface"/>
    <n v="7200"/>
    <n v="13653"/>
    <n v="189.625"/>
    <x v="1"/>
    <n v="303"/>
    <n v="45.059405940594061"/>
    <x v="1"/>
    <s v="USD"/>
    <n v="1571547600"/>
    <n v="1575439200"/>
    <x v="49"/>
    <d v="2019-12-04T06:00:00"/>
    <n v="46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x v="50"/>
    <d v="2013-08-29T05:00:00"/>
    <n v="29"/>
    <b v="0"/>
    <b v="0"/>
    <s v="music/metal"/>
    <x v="1"/>
    <x v="16"/>
  </r>
  <r>
    <n v="51"/>
    <s v="Bradshaw, Gill and Donovan"/>
    <s v="Inverse secondary infrastructure"/>
    <n v="158100"/>
    <n v="145243"/>
    <n v="91.867805186590772"/>
    <x v="0"/>
    <n v="1467"/>
    <n v="99.006816632583508"/>
    <x v="4"/>
    <s v="GBP"/>
    <n v="1332824400"/>
    <n v="1334206800"/>
    <x v="51"/>
    <d v="2012-04-12T05:00:00"/>
    <n v="17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n v="75"/>
    <n v="32.786666666666669"/>
    <x v="1"/>
    <s v="USD"/>
    <n v="1284526800"/>
    <n v="1284872400"/>
    <x v="52"/>
    <d v="2010-09-19T05:00:00"/>
    <n v="5"/>
    <b v="0"/>
    <b v="0"/>
    <s v="theater/plays"/>
    <x v="3"/>
    <x v="3"/>
  </r>
  <r>
    <n v="53"/>
    <s v="Smith-Jones"/>
    <s v="Reverse-engineered static concept"/>
    <n v="8800"/>
    <n v="12356"/>
    <n v="140.40909090909091"/>
    <x v="1"/>
    <n v="209"/>
    <n v="59.119617224880386"/>
    <x v="1"/>
    <s v="USD"/>
    <n v="1400562000"/>
    <n v="1403931600"/>
    <x v="53"/>
    <d v="2014-06-28T05:00:00"/>
    <n v="40"/>
    <b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n v="120"/>
    <n v="44.93333333333333"/>
    <x v="1"/>
    <s v="USD"/>
    <n v="1520748000"/>
    <n v="1521262800"/>
    <x v="54"/>
    <d v="2018-03-17T05:00:00"/>
    <n v="7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s v="USD"/>
    <n v="1532926800"/>
    <n v="1533358800"/>
    <x v="55"/>
    <d v="2018-08-04T05:00:00"/>
    <n v="6"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n v="164"/>
    <n v="70.079268292682926"/>
    <x v="1"/>
    <s v="USD"/>
    <n v="1420869600"/>
    <n v="1421474400"/>
    <x v="56"/>
    <d v="2015-01-17T06:00:00"/>
    <n v="8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n v="201"/>
    <n v="31.059701492537314"/>
    <x v="1"/>
    <s v="USD"/>
    <n v="1504242000"/>
    <n v="1505278800"/>
    <x v="57"/>
    <d v="2017-09-13T05:00:00"/>
    <n v="13"/>
    <b v="0"/>
    <b v="0"/>
    <s v="games/video games"/>
    <x v="6"/>
    <x v="11"/>
  </r>
  <r>
    <n v="58"/>
    <s v="Anderson-Perez"/>
    <s v="Expanded 3rdgeneration strategy"/>
    <n v="2700"/>
    <n v="6132"/>
    <n v="227.11111111111111"/>
    <x v="1"/>
    <n v="211"/>
    <n v="29.061611374407583"/>
    <x v="1"/>
    <s v="USD"/>
    <n v="1442811600"/>
    <n v="1443934800"/>
    <x v="58"/>
    <d v="2015-10-04T05:00:00"/>
    <n v="14"/>
    <b v="0"/>
    <b v="0"/>
    <s v="theater/plays"/>
    <x v="3"/>
    <x v="3"/>
  </r>
  <r>
    <n v="59"/>
    <s v="Wright, Fox and Marks"/>
    <s v="Assimilated real-time support"/>
    <n v="1400"/>
    <n v="3851"/>
    <n v="275.07142857142856"/>
    <x v="1"/>
    <n v="128"/>
    <n v="30.0859375"/>
    <x v="1"/>
    <s v="USD"/>
    <n v="1497243600"/>
    <n v="1498539600"/>
    <x v="59"/>
    <d v="2017-06-27T05:00:00"/>
    <n v="16"/>
    <b v="0"/>
    <b v="1"/>
    <s v="theater/plays"/>
    <x v="3"/>
    <x v="3"/>
  </r>
  <r>
    <n v="60"/>
    <s v="Crawford-Peters"/>
    <s v="User-centric regional database"/>
    <n v="94200"/>
    <n v="135997"/>
    <n v="144.37048832271762"/>
    <x v="1"/>
    <n v="1600"/>
    <n v="84.998125000000002"/>
    <x v="0"/>
    <s v="CAD"/>
    <n v="1342501200"/>
    <n v="1342760400"/>
    <x v="60"/>
    <d v="2012-07-20T05:00:00"/>
    <n v="4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n v="2253"/>
    <n v="82.001775410563695"/>
    <x v="0"/>
    <s v="CAD"/>
    <n v="1298268000"/>
    <n v="1301720400"/>
    <x v="61"/>
    <d v="2011-04-02T05:00:00"/>
    <n v="41"/>
    <b v="0"/>
    <b v="0"/>
    <s v="theater/plays"/>
    <x v="3"/>
    <x v="3"/>
  </r>
  <r>
    <n v="62"/>
    <s v="Sparks-West"/>
    <s v="Organized incremental standardization"/>
    <n v="2000"/>
    <n v="14452"/>
    <n v="722.6"/>
    <x v="1"/>
    <n v="249"/>
    <n v="58.040160642570278"/>
    <x v="1"/>
    <s v="USD"/>
    <n v="1433480400"/>
    <n v="1433566800"/>
    <x v="62"/>
    <d v="2015-06-06T05:00:00"/>
    <n v="2"/>
    <b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n v="5"/>
    <n v="111.4"/>
    <x v="1"/>
    <s v="USD"/>
    <n v="1493355600"/>
    <n v="1493874000"/>
    <x v="63"/>
    <d v="2017-05-04T05:00:00"/>
    <n v="7"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n v="38"/>
    <n v="71.94736842105263"/>
    <x v="1"/>
    <s v="USD"/>
    <n v="1530507600"/>
    <n v="1531803600"/>
    <x v="64"/>
    <d v="2018-07-17T05:00:00"/>
    <n v="16"/>
    <b v="0"/>
    <b v="1"/>
    <s v="technology/web"/>
    <x v="2"/>
    <x v="2"/>
  </r>
  <r>
    <n v="65"/>
    <s v="Berry-Boyer"/>
    <s v="Mandatory incremental projection"/>
    <n v="6100"/>
    <n v="14405"/>
    <n v="236.14754098360655"/>
    <x v="1"/>
    <n v="236"/>
    <n v="61.038135593220339"/>
    <x v="1"/>
    <s v="USD"/>
    <n v="1296108000"/>
    <n v="1296712800"/>
    <x v="65"/>
    <d v="2011-02-03T06:00:00"/>
    <n v="8"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n v="12"/>
    <n v="108.91666666666667"/>
    <x v="1"/>
    <s v="USD"/>
    <n v="1428469200"/>
    <n v="1428901200"/>
    <x v="66"/>
    <d v="2015-04-13T05:00:00"/>
    <n v="6"/>
    <b v="0"/>
    <b v="1"/>
    <s v="theater/plays"/>
    <x v="3"/>
    <x v="3"/>
  </r>
  <r>
    <n v="67"/>
    <s v="Lopez Inc"/>
    <s v="Team-oriented 6thgeneration middleware"/>
    <n v="72600"/>
    <n v="117892"/>
    <n v="162.38567493112947"/>
    <x v="1"/>
    <n v="4065"/>
    <n v="29.001722017220171"/>
    <x v="4"/>
    <s v="GBP"/>
    <n v="1264399200"/>
    <n v="1264831200"/>
    <x v="67"/>
    <d v="2010-01-30T06:00:00"/>
    <n v="6"/>
    <b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n v="246"/>
    <n v="58.975609756097562"/>
    <x v="6"/>
    <s v="EUR"/>
    <n v="1501131600"/>
    <n v="1505192400"/>
    <x v="68"/>
    <d v="2017-09-12T05:00:00"/>
    <n v="48"/>
    <b v="0"/>
    <b v="1"/>
    <s v="theater/plays"/>
    <x v="3"/>
    <x v="3"/>
  </r>
  <r>
    <n v="69"/>
    <s v="Jones-Watson"/>
    <s v="Switchable disintermediate moderator"/>
    <n v="7900"/>
    <n v="1901"/>
    <n v="24.063291139240505"/>
    <x v="3"/>
    <n v="17"/>
    <n v="111.82352941176471"/>
    <x v="1"/>
    <s v="USD"/>
    <n v="1292738400"/>
    <n v="1295676000"/>
    <x v="69"/>
    <d v="2011-01-22T06:00:00"/>
    <n v="35"/>
    <b v="0"/>
    <b v="0"/>
    <s v="theater/plays"/>
    <x v="3"/>
    <x v="3"/>
  </r>
  <r>
    <n v="70"/>
    <s v="Barker Inc"/>
    <s v="Re-engineered 24/7 task-force"/>
    <n v="128000"/>
    <n v="158389"/>
    <n v="123.74140625"/>
    <x v="1"/>
    <n v="2475"/>
    <n v="63.995555555555555"/>
    <x v="6"/>
    <s v="EUR"/>
    <n v="1288674000"/>
    <n v="1292911200"/>
    <x v="70"/>
    <d v="2010-12-21T06:00:00"/>
    <n v="5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n v="76"/>
    <n v="85.315789473684205"/>
    <x v="1"/>
    <s v="USD"/>
    <n v="1575093600"/>
    <n v="1575439200"/>
    <x v="71"/>
    <d v="2019-12-04T06:00:00"/>
    <n v="5"/>
    <b v="0"/>
    <b v="0"/>
    <s v="theater/plays"/>
    <x v="3"/>
    <x v="3"/>
  </r>
  <r>
    <n v="72"/>
    <s v="Hampton, Lewis and Ray"/>
    <s v="Seamless coherent parallelism"/>
    <n v="600"/>
    <n v="4022"/>
    <n v="670.33333333333337"/>
    <x v="1"/>
    <n v="54"/>
    <n v="74.481481481481481"/>
    <x v="1"/>
    <s v="USD"/>
    <n v="1435726800"/>
    <n v="1438837200"/>
    <x v="72"/>
    <d v="2015-08-06T05:00:00"/>
    <n v="37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n v="88"/>
    <n v="105.14772727272727"/>
    <x v="1"/>
    <s v="USD"/>
    <n v="1480226400"/>
    <n v="1480485600"/>
    <x v="73"/>
    <d v="2016-11-30T06:00:00"/>
    <n v="4"/>
    <b v="0"/>
    <b v="0"/>
    <s v="music/jazz"/>
    <x v="1"/>
    <x v="17"/>
  </r>
  <r>
    <n v="74"/>
    <s v="Davis-Michael"/>
    <s v="Progressive tertiary framework"/>
    <n v="3900"/>
    <n v="4776"/>
    <n v="122.46153846153847"/>
    <x v="1"/>
    <n v="85"/>
    <n v="56.188235294117646"/>
    <x v="4"/>
    <s v="GBP"/>
    <n v="1459054800"/>
    <n v="1459141200"/>
    <x v="74"/>
    <d v="2016-03-28T05:00:00"/>
    <n v="2"/>
    <b v="0"/>
    <b v="0"/>
    <s v="music/metal"/>
    <x v="1"/>
    <x v="16"/>
  </r>
  <r>
    <n v="75"/>
    <s v="White, Torres and Bishop"/>
    <s v="Multi-layered dynamic protocol"/>
    <n v="9700"/>
    <n v="14606"/>
    <n v="150.57731958762886"/>
    <x v="1"/>
    <n v="170"/>
    <n v="85.917647058823533"/>
    <x v="1"/>
    <s v="USD"/>
    <n v="1531630800"/>
    <n v="1532322000"/>
    <x v="75"/>
    <d v="2018-07-23T05:00:00"/>
    <n v="9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83"/>
    <x v="0"/>
    <n v="1684"/>
    <n v="57.00296912114014"/>
    <x v="1"/>
    <s v="USD"/>
    <n v="1421992800"/>
    <n v="1426222800"/>
    <x v="76"/>
    <d v="2015-03-13T05:00:00"/>
    <n v="50"/>
    <b v="1"/>
    <b v="1"/>
    <s v="theater/plays"/>
    <x v="3"/>
    <x v="3"/>
  </r>
  <r>
    <n v="77"/>
    <s v="Acevedo-Huffman"/>
    <s v="Pre-emptive impactful model"/>
    <n v="9500"/>
    <n v="4460"/>
    <n v="46.94736842105263"/>
    <x v="0"/>
    <n v="56"/>
    <n v="79.642857142857139"/>
    <x v="1"/>
    <s v="USD"/>
    <n v="1285563600"/>
    <n v="1286773200"/>
    <x v="77"/>
    <d v="2010-10-11T05:00:00"/>
    <n v="15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n v="330"/>
    <n v="41.018181818181816"/>
    <x v="1"/>
    <s v="USD"/>
    <n v="1523854800"/>
    <n v="1523941200"/>
    <x v="78"/>
    <d v="2018-04-17T05:00:00"/>
    <n v="2"/>
    <b v="0"/>
    <b v="0"/>
    <s v="publishing/translations"/>
    <x v="5"/>
    <x v="18"/>
  </r>
  <r>
    <n v="79"/>
    <s v="Soto LLC"/>
    <s v="Triple-buffered reciprocal project"/>
    <n v="57800"/>
    <n v="40228"/>
    <n v="69.598615916955012"/>
    <x v="0"/>
    <n v="838"/>
    <n v="48.004773269689736"/>
    <x v="1"/>
    <s v="USD"/>
    <n v="1529125200"/>
    <n v="1529557200"/>
    <x v="79"/>
    <d v="2018-06-21T05:00:00"/>
    <n v="6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n v="127"/>
    <n v="55.212598425196852"/>
    <x v="1"/>
    <s v="USD"/>
    <n v="1503982800"/>
    <n v="1506574800"/>
    <x v="80"/>
    <d v="2017-09-28T05:00:00"/>
    <n v="31"/>
    <b v="0"/>
    <b v="0"/>
    <s v="games/video games"/>
    <x v="6"/>
    <x v="11"/>
  </r>
  <r>
    <n v="81"/>
    <s v="Gomez, Bailey and Flores"/>
    <s v="User-friendly static contingency"/>
    <n v="16800"/>
    <n v="37857"/>
    <n v="225.33928571428572"/>
    <x v="1"/>
    <n v="411"/>
    <n v="92.109489051094897"/>
    <x v="1"/>
    <s v="USD"/>
    <n v="1511416800"/>
    <n v="1513576800"/>
    <x v="81"/>
    <d v="2017-12-18T06:00:00"/>
    <n v="26"/>
    <b v="0"/>
    <b v="0"/>
    <s v="music/rock"/>
    <x v="1"/>
    <x v="1"/>
  </r>
  <r>
    <n v="82"/>
    <s v="Porter-George"/>
    <s v="Reactive content-based framework"/>
    <n v="1000"/>
    <n v="14973"/>
    <n v="1497.3"/>
    <x v="1"/>
    <n v="180"/>
    <n v="83.183333333333337"/>
    <x v="4"/>
    <s v="GBP"/>
    <n v="1547704800"/>
    <n v="1548309600"/>
    <x v="82"/>
    <d v="2019-01-24T06:00:00"/>
    <n v="8"/>
    <b v="0"/>
    <b v="1"/>
    <s v="games/video games"/>
    <x v="6"/>
    <x v="11"/>
  </r>
  <r>
    <n v="83"/>
    <s v="Fitzgerald PLC"/>
    <s v="Realigned user-facing concept"/>
    <n v="106400"/>
    <n v="39996"/>
    <n v="37.590225563909776"/>
    <x v="0"/>
    <n v="1000"/>
    <n v="39.996000000000002"/>
    <x v="1"/>
    <s v="USD"/>
    <n v="1469682000"/>
    <n v="1471582800"/>
    <x v="83"/>
    <d v="2016-08-19T05:00:00"/>
    <n v="23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n v="374"/>
    <n v="111.1336898395722"/>
    <x v="1"/>
    <s v="USD"/>
    <n v="1343451600"/>
    <n v="1344315600"/>
    <x v="84"/>
    <d v="2012-08-07T05:00:00"/>
    <n v="11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n v="71"/>
    <n v="90.563380281690144"/>
    <x v="2"/>
    <s v="AUD"/>
    <n v="1315717200"/>
    <n v="1316408400"/>
    <x v="85"/>
    <d v="2011-09-19T05:00:00"/>
    <n v="9"/>
    <b v="0"/>
    <b v="0"/>
    <s v="music/indie rock"/>
    <x v="1"/>
    <x v="7"/>
  </r>
  <r>
    <n v="86"/>
    <s v="Davis-Smith"/>
    <s v="Organic motivating firmware"/>
    <n v="7400"/>
    <n v="12405"/>
    <n v="167.63513513513513"/>
    <x v="1"/>
    <n v="203"/>
    <n v="61.108374384236456"/>
    <x v="1"/>
    <s v="USD"/>
    <n v="1430715600"/>
    <n v="1431838800"/>
    <x v="86"/>
    <d v="2015-05-17T05:00:00"/>
    <n v="14"/>
    <b v="1"/>
    <b v="0"/>
    <s v="theater/plays"/>
    <x v="3"/>
    <x v="3"/>
  </r>
  <r>
    <n v="87"/>
    <s v="Farrell and Sons"/>
    <s v="Synergized 4thgeneration conglomeration"/>
    <n v="198500"/>
    <n v="123040"/>
    <n v="61.984886649874056"/>
    <x v="0"/>
    <n v="1482"/>
    <n v="83.022941970310384"/>
    <x v="2"/>
    <s v="AUD"/>
    <n v="1299564000"/>
    <n v="1300510800"/>
    <x v="87"/>
    <d v="2011-03-19T05:00:00"/>
    <n v="12"/>
    <b v="0"/>
    <b v="1"/>
    <s v="music/rock"/>
    <x v="1"/>
    <x v="1"/>
  </r>
  <r>
    <n v="88"/>
    <s v="Clark Group"/>
    <s v="Grass-roots fault-tolerant policy"/>
    <n v="4800"/>
    <n v="12516"/>
    <n v="260.75"/>
    <x v="1"/>
    <n v="113"/>
    <n v="110.76106194690266"/>
    <x v="1"/>
    <s v="USD"/>
    <n v="1429160400"/>
    <n v="1431061200"/>
    <x v="88"/>
    <d v="2015-05-08T05:00:00"/>
    <n v="23"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n v="96"/>
    <n v="89.458333333333329"/>
    <x v="1"/>
    <s v="USD"/>
    <n v="1271307600"/>
    <n v="1271480400"/>
    <x v="89"/>
    <d v="2010-04-17T05:00:00"/>
    <n v="3"/>
    <b v="0"/>
    <b v="0"/>
    <s v="theater/plays"/>
    <x v="3"/>
    <x v="3"/>
  </r>
  <r>
    <n v="90"/>
    <s v="Kramer Group"/>
    <s v="Synergistic explicit parallelism"/>
    <n v="7800"/>
    <n v="6132"/>
    <n v="78.615384615384613"/>
    <x v="0"/>
    <n v="106"/>
    <n v="57.849056603773583"/>
    <x v="1"/>
    <s v="USD"/>
    <n v="1456380000"/>
    <n v="1456380000"/>
    <x v="90"/>
    <d v="2016-02-25T06:00:00"/>
    <n v="1"/>
    <b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n v="679"/>
    <n v="109.99705449189985"/>
    <x v="6"/>
    <s v="EUR"/>
    <n v="1470459600"/>
    <n v="1472878800"/>
    <x v="91"/>
    <d v="2016-09-03T05:00:00"/>
    <n v="29"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n v="498"/>
    <n v="103.96586345381526"/>
    <x v="5"/>
    <s v="CHF"/>
    <n v="1277269200"/>
    <n v="1277355600"/>
    <x v="92"/>
    <d v="2010-06-24T05:00:00"/>
    <n v="2"/>
    <b v="0"/>
    <b v="1"/>
    <s v="games/video games"/>
    <x v="6"/>
    <x v="11"/>
  </r>
  <r>
    <n v="93"/>
    <s v="Hall and Sons"/>
    <s v="Pre-emptive radical architecture"/>
    <n v="108800"/>
    <n v="65877"/>
    <n v="60.548713235294116"/>
    <x v="3"/>
    <n v="610"/>
    <n v="107.99508196721311"/>
    <x v="1"/>
    <s v="USD"/>
    <n v="1350709200"/>
    <n v="1351054800"/>
    <x v="93"/>
    <d v="2012-10-24T05:00:00"/>
    <n v="5"/>
    <b v="0"/>
    <b v="1"/>
    <s v="theater/plays"/>
    <x v="3"/>
    <x v="3"/>
  </r>
  <r>
    <n v="94"/>
    <s v="Hanson Inc"/>
    <s v="Grass-roots web-enabled contingency"/>
    <n v="2900"/>
    <n v="8807"/>
    <n v="303.68965517241378"/>
    <x v="1"/>
    <n v="180"/>
    <n v="48.927777777777777"/>
    <x v="4"/>
    <s v="GBP"/>
    <n v="1554613200"/>
    <n v="1555563600"/>
    <x v="94"/>
    <d v="2019-04-18T05:00:00"/>
    <n v="12"/>
    <b v="0"/>
    <b v="0"/>
    <s v="technology/web"/>
    <x v="2"/>
    <x v="2"/>
  </r>
  <r>
    <n v="95"/>
    <s v="Sanchez LLC"/>
    <s v="Stand-alone system-worthy standardization"/>
    <n v="900"/>
    <n v="1017"/>
    <n v="113"/>
    <x v="1"/>
    <n v="27"/>
    <n v="37.666666666666664"/>
    <x v="1"/>
    <s v="USD"/>
    <n v="1571029200"/>
    <n v="1571634000"/>
    <x v="95"/>
    <d v="2019-10-21T05:00:00"/>
    <n v="8"/>
    <b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n v="2331"/>
    <n v="64.999141999141997"/>
    <x v="1"/>
    <s v="USD"/>
    <n v="1299736800"/>
    <n v="1300856400"/>
    <x v="96"/>
    <d v="2011-03-23T05:00:00"/>
    <n v="14"/>
    <b v="0"/>
    <b v="0"/>
    <s v="theater/plays"/>
    <x v="3"/>
    <x v="3"/>
  </r>
  <r>
    <n v="97"/>
    <s v="Stewart LLC"/>
    <s v="Cloned bi-directional architecture"/>
    <n v="1300"/>
    <n v="12047"/>
    <n v="926.69230769230774"/>
    <x v="1"/>
    <n v="113"/>
    <n v="106.61061946902655"/>
    <x v="1"/>
    <s v="USD"/>
    <n v="1435208400"/>
    <n v="1439874000"/>
    <x v="48"/>
    <d v="2015-08-18T05:00:00"/>
    <n v="55"/>
    <b v="0"/>
    <b v="0"/>
    <s v="food/food trucks"/>
    <x v="0"/>
    <x v="0"/>
  </r>
  <r>
    <n v="98"/>
    <s v="Arias, Allen and Miller"/>
    <s v="Seamless transitional portal"/>
    <n v="97800"/>
    <n v="32951"/>
    <n v="33.692229038854805"/>
    <x v="0"/>
    <n v="1220"/>
    <n v="27.009016393442622"/>
    <x v="2"/>
    <s v="AUD"/>
    <n v="1437973200"/>
    <n v="1438318800"/>
    <x v="97"/>
    <d v="2015-07-31T05:00:00"/>
    <n v="5"/>
    <b v="0"/>
    <b v="0"/>
    <s v="games/video games"/>
    <x v="6"/>
    <x v="11"/>
  </r>
  <r>
    <n v="99"/>
    <s v="Baker-Morris"/>
    <s v="Fully-configurable motivating approach"/>
    <n v="7600"/>
    <n v="14951"/>
    <n v="196.72368421052633"/>
    <x v="1"/>
    <n v="164"/>
    <n v="91.16463414634147"/>
    <x v="1"/>
    <s v="USD"/>
    <n v="1416895200"/>
    <n v="1419400800"/>
    <x v="98"/>
    <d v="2014-12-24T06:00:00"/>
    <n v="3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x v="99"/>
    <d v="2011-11-06T05:00:00"/>
    <n v="19"/>
    <b v="0"/>
    <b v="0"/>
    <s v="theater/plays"/>
    <x v="3"/>
    <x v="3"/>
  </r>
  <r>
    <n v="101"/>
    <s v="Douglas LLC"/>
    <s v="Reduced heuristic moratorium"/>
    <n v="900"/>
    <n v="9193"/>
    <n v="1021.4444444444445"/>
    <x v="1"/>
    <n v="164"/>
    <n v="56.054878048780488"/>
    <x v="1"/>
    <s v="USD"/>
    <n v="1424498400"/>
    <n v="1425103200"/>
    <x v="100"/>
    <d v="2015-02-28T06:00:00"/>
    <n v="8"/>
    <b v="0"/>
    <b v="1"/>
    <s v="music/electric music"/>
    <x v="1"/>
    <x v="5"/>
  </r>
  <r>
    <n v="102"/>
    <s v="Garcia Inc"/>
    <s v="Front-line web-enabled model"/>
    <n v="3700"/>
    <n v="10422"/>
    <n v="281.67567567567568"/>
    <x v="1"/>
    <n v="336"/>
    <n v="31.017857142857142"/>
    <x v="1"/>
    <s v="USD"/>
    <n v="1526274000"/>
    <n v="1526878800"/>
    <x v="101"/>
    <d v="2018-05-21T05:00:00"/>
    <n v="8"/>
    <b v="0"/>
    <b v="1"/>
    <s v="technology/wearables"/>
    <x v="2"/>
    <x v="8"/>
  </r>
  <r>
    <n v="103"/>
    <s v="Frye, Hunt and Powell"/>
    <s v="Polarized incremental emulation"/>
    <n v="10000"/>
    <n v="2461"/>
    <n v="24.61"/>
    <x v="0"/>
    <n v="37"/>
    <n v="66.513513513513516"/>
    <x v="6"/>
    <s v="EUR"/>
    <n v="1287896400"/>
    <n v="1288674000"/>
    <x v="102"/>
    <d v="2010-11-02T05:00:00"/>
    <n v="10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n v="1917"/>
    <n v="89.005216484089729"/>
    <x v="1"/>
    <s v="USD"/>
    <n v="1495515600"/>
    <n v="1495602000"/>
    <x v="103"/>
    <d v="2017-05-24T05:00:00"/>
    <n v="2"/>
    <b v="0"/>
    <b v="0"/>
    <s v="music/indie rock"/>
    <x v="1"/>
    <x v="7"/>
  </r>
  <r>
    <n v="105"/>
    <s v="Charles-Johnson"/>
    <s v="Total fresh-thinking system engine"/>
    <n v="6800"/>
    <n v="9829"/>
    <n v="144.54411764705881"/>
    <x v="1"/>
    <n v="95"/>
    <n v="103.46315789473684"/>
    <x v="1"/>
    <s v="USD"/>
    <n v="1364878800"/>
    <n v="1366434000"/>
    <x v="104"/>
    <d v="2013-04-20T05:00:00"/>
    <n v="19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n v="147"/>
    <n v="95.278911564625844"/>
    <x v="1"/>
    <s v="USD"/>
    <n v="1567918800"/>
    <n v="1568350800"/>
    <x v="105"/>
    <d v="2019-09-13T05:00:00"/>
    <n v="6"/>
    <b v="0"/>
    <b v="0"/>
    <s v="theater/plays"/>
    <x v="3"/>
    <x v="3"/>
  </r>
  <r>
    <n v="107"/>
    <s v="Tucker, Schmidt and Reid"/>
    <s v="Multi-layered encompassing installation"/>
    <n v="3500"/>
    <n v="6527"/>
    <n v="186.48571428571429"/>
    <x v="1"/>
    <n v="86"/>
    <n v="75.895348837209298"/>
    <x v="1"/>
    <s v="USD"/>
    <n v="1524459600"/>
    <n v="1525928400"/>
    <x v="106"/>
    <d v="2018-05-10T05:00:00"/>
    <n v="18"/>
    <b v="0"/>
    <b v="1"/>
    <s v="theater/plays"/>
    <x v="3"/>
    <x v="3"/>
  </r>
  <r>
    <n v="108"/>
    <s v="Decker Inc"/>
    <s v="Universal encompassing implementation"/>
    <n v="1500"/>
    <n v="8929"/>
    <n v="595.26666666666665"/>
    <x v="1"/>
    <n v="83"/>
    <n v="107.57831325301204"/>
    <x v="1"/>
    <s v="USD"/>
    <n v="1333688400"/>
    <n v="1336885200"/>
    <x v="107"/>
    <d v="2012-05-13T05:00:00"/>
    <n v="38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n v="60"/>
    <n v="51.31666666666667"/>
    <x v="1"/>
    <s v="USD"/>
    <n v="1389506400"/>
    <n v="1389679200"/>
    <x v="108"/>
    <d v="2014-01-14T06:00:00"/>
    <n v="3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s v="USD"/>
    <n v="1536642000"/>
    <n v="1538283600"/>
    <x v="109"/>
    <d v="2018-09-30T05:00:00"/>
    <n v="20"/>
    <b v="0"/>
    <b v="0"/>
    <s v="food/food trucks"/>
    <x v="0"/>
    <x v="0"/>
  </r>
  <r>
    <n v="111"/>
    <s v="Hart-Briggs"/>
    <s v="Re-engineered user-facing approach"/>
    <n v="61400"/>
    <n v="73653"/>
    <n v="119.95602605863192"/>
    <x v="1"/>
    <n v="676"/>
    <n v="108.95414201183432"/>
    <x v="1"/>
    <s v="USD"/>
    <n v="1348290000"/>
    <n v="1348808400"/>
    <x v="110"/>
    <d v="2012-09-28T05:00:00"/>
    <n v="7"/>
    <b v="0"/>
    <b v="0"/>
    <s v="publishing/radio &amp; podcasts"/>
    <x v="5"/>
    <x v="15"/>
  </r>
  <r>
    <n v="112"/>
    <s v="Jones-Meyer"/>
    <s v="Re-engineered client-driven hub"/>
    <n v="4700"/>
    <n v="12635"/>
    <n v="268.82978723404256"/>
    <x v="1"/>
    <n v="361"/>
    <n v="35"/>
    <x v="2"/>
    <s v="AUD"/>
    <n v="1408856400"/>
    <n v="1410152400"/>
    <x v="111"/>
    <d v="2014-09-08T05:00:00"/>
    <n v="16"/>
    <b v="0"/>
    <b v="0"/>
    <s v="technology/web"/>
    <x v="2"/>
    <x v="2"/>
  </r>
  <r>
    <n v="113"/>
    <s v="Wright, Hartman and Yu"/>
    <s v="User-friendly tertiary array"/>
    <n v="3300"/>
    <n v="12437"/>
    <n v="376.87878787878788"/>
    <x v="1"/>
    <n v="131"/>
    <n v="94.938931297709928"/>
    <x v="1"/>
    <s v="USD"/>
    <n v="1505192400"/>
    <n v="1505797200"/>
    <x v="112"/>
    <d v="2017-09-19T05:00:00"/>
    <n v="8"/>
    <b v="0"/>
    <b v="0"/>
    <s v="food/food trucks"/>
    <x v="0"/>
    <x v="0"/>
  </r>
  <r>
    <n v="114"/>
    <s v="Harper-Davis"/>
    <s v="Robust heuristic encoding"/>
    <n v="1900"/>
    <n v="13816"/>
    <n v="727.15789473684208"/>
    <x v="1"/>
    <n v="126"/>
    <n v="109.65079365079364"/>
    <x v="1"/>
    <s v="USD"/>
    <n v="1554786000"/>
    <n v="1554872400"/>
    <x v="113"/>
    <d v="2019-04-10T05:00:00"/>
    <n v="2"/>
    <b v="0"/>
    <b v="1"/>
    <s v="technology/wearables"/>
    <x v="2"/>
    <x v="8"/>
  </r>
  <r>
    <n v="115"/>
    <s v="Barrett PLC"/>
    <s v="Team-oriented clear-thinking capacity"/>
    <n v="166700"/>
    <n v="145382"/>
    <n v="87.211757648470311"/>
    <x v="0"/>
    <n v="3304"/>
    <n v="44.001815980629537"/>
    <x v="6"/>
    <s v="EUR"/>
    <n v="1510898400"/>
    <n v="1513922400"/>
    <x v="114"/>
    <d v="2017-12-22T06:00:00"/>
    <n v="36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4520547945211"/>
    <x v="1"/>
    <s v="USD"/>
    <n v="1442552400"/>
    <n v="1442638800"/>
    <x v="115"/>
    <d v="2015-09-19T05:00:00"/>
    <n v="2"/>
    <b v="0"/>
    <b v="0"/>
    <s v="theater/plays"/>
    <x v="3"/>
    <x v="3"/>
  </r>
  <r>
    <n v="117"/>
    <s v="Chaney-Dennis"/>
    <s v="Business-focused 24hour groupware"/>
    <n v="4900"/>
    <n v="8523"/>
    <n v="173.9387755102041"/>
    <x v="1"/>
    <n v="275"/>
    <n v="30.992727272727272"/>
    <x v="1"/>
    <s v="USD"/>
    <n v="1316667600"/>
    <n v="1317186000"/>
    <x v="116"/>
    <d v="2011-09-28T05:00:00"/>
    <n v="7"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n v="67"/>
    <n v="94.791044776119406"/>
    <x v="1"/>
    <s v="USD"/>
    <n v="1390716000"/>
    <n v="1391234400"/>
    <x v="117"/>
    <d v="2014-02-01T06:00:00"/>
    <n v="7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n v="154"/>
    <n v="69.79220779220779"/>
    <x v="1"/>
    <s v="USD"/>
    <n v="1402894800"/>
    <n v="1404363600"/>
    <x v="118"/>
    <d v="2014-07-03T05:00:00"/>
    <n v="18"/>
    <b v="0"/>
    <b v="1"/>
    <s v="film &amp; video/documentary"/>
    <x v="4"/>
    <x v="4"/>
  </r>
  <r>
    <n v="120"/>
    <s v="Vega Group"/>
    <s v="Synchronized regional synergy"/>
    <n v="75100"/>
    <n v="112272"/>
    <n v="149.49667110519309"/>
    <x v="1"/>
    <n v="1782"/>
    <n v="63.003367003367003"/>
    <x v="1"/>
    <s v="USD"/>
    <n v="1429246800"/>
    <n v="1429592400"/>
    <x v="119"/>
    <d v="2015-04-21T05:00:00"/>
    <n v="5"/>
    <b v="0"/>
    <b v="1"/>
    <s v="games/mobile games"/>
    <x v="6"/>
    <x v="20"/>
  </r>
  <r>
    <n v="121"/>
    <s v="Brown-Brown"/>
    <s v="Multi-lateral homogeneous success"/>
    <n v="45300"/>
    <n v="99361"/>
    <n v="219.33995584988963"/>
    <x v="1"/>
    <n v="903"/>
    <n v="110.0343300110742"/>
    <x v="1"/>
    <s v="USD"/>
    <n v="1412485200"/>
    <n v="1413608400"/>
    <x v="33"/>
    <d v="2014-10-18T05:00:00"/>
    <n v="14"/>
    <b v="0"/>
    <b v="0"/>
    <s v="games/video games"/>
    <x v="6"/>
    <x v="11"/>
  </r>
  <r>
    <n v="122"/>
    <s v="Taylor PLC"/>
    <s v="Seamless zero-defect solution"/>
    <n v="136800"/>
    <n v="88055"/>
    <n v="64.367690058479539"/>
    <x v="0"/>
    <n v="3387"/>
    <n v="25.997933274284026"/>
    <x v="1"/>
    <s v="USD"/>
    <n v="1417068000"/>
    <n v="1419400800"/>
    <x v="120"/>
    <d v="2014-12-24T06:00:00"/>
    <n v="28"/>
    <b v="0"/>
    <b v="0"/>
    <s v="publishing/fiction"/>
    <x v="5"/>
    <x v="13"/>
  </r>
  <r>
    <n v="123"/>
    <s v="Edwards-Lewis"/>
    <s v="Enhanced scalable concept"/>
    <n v="177700"/>
    <n v="33092"/>
    <n v="18.622397298818232"/>
    <x v="0"/>
    <n v="662"/>
    <n v="49.987915407854985"/>
    <x v="0"/>
    <s v="CAD"/>
    <n v="1448344800"/>
    <n v="1448604000"/>
    <x v="121"/>
    <d v="2015-11-27T06:00:00"/>
    <n v="4"/>
    <b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n v="94"/>
    <n v="101.72340425531915"/>
    <x v="6"/>
    <s v="EUR"/>
    <n v="1557723600"/>
    <n v="1562302800"/>
    <x v="122"/>
    <d v="2019-07-05T05:00:00"/>
    <n v="54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n v="180"/>
    <n v="47.083333333333336"/>
    <x v="1"/>
    <s v="USD"/>
    <n v="1537333200"/>
    <n v="1537678800"/>
    <x v="123"/>
    <d v="2018-09-23T05:00:00"/>
    <n v="5"/>
    <b v="0"/>
    <b v="0"/>
    <s v="theater/plays"/>
    <x v="3"/>
    <x v="3"/>
  </r>
  <r>
    <n v="126"/>
    <s v="Gross PLC"/>
    <s v="Proactive methodical benchmark"/>
    <n v="180200"/>
    <n v="69617"/>
    <n v="38.633185349611544"/>
    <x v="0"/>
    <n v="774"/>
    <n v="89.944444444444443"/>
    <x v="1"/>
    <s v="USD"/>
    <n v="1471150800"/>
    <n v="1473570000"/>
    <x v="124"/>
    <d v="2016-09-11T05:00:00"/>
    <n v="29"/>
    <b v="0"/>
    <b v="1"/>
    <s v="theater/plays"/>
    <x v="3"/>
    <x v="3"/>
  </r>
  <r>
    <n v="127"/>
    <s v="Martinez, Gomez and Dalton"/>
    <s v="Team-oriented 6thgeneration matrix"/>
    <n v="103200"/>
    <n v="53067"/>
    <n v="51.421511627906973"/>
    <x v="0"/>
    <n v="672"/>
    <n v="78.96875"/>
    <x v="0"/>
    <s v="CAD"/>
    <n v="1273640400"/>
    <n v="1273899600"/>
    <x v="125"/>
    <d v="2010-05-15T05:00:00"/>
    <n v="4"/>
    <b v="0"/>
    <b v="0"/>
    <s v="theater/plays"/>
    <x v="3"/>
    <x v="3"/>
  </r>
  <r>
    <n v="128"/>
    <s v="Allen-Curtis"/>
    <s v="Phased human-resource core"/>
    <n v="70600"/>
    <n v="42596"/>
    <n v="60.334277620396598"/>
    <x v="3"/>
    <n v="532"/>
    <n v="80.067669172932327"/>
    <x v="1"/>
    <s v="USD"/>
    <n v="1282885200"/>
    <n v="1284008400"/>
    <x v="126"/>
    <d v="2010-09-09T05:00:00"/>
    <n v="14"/>
    <b v="0"/>
    <b v="0"/>
    <s v="music/rock"/>
    <x v="1"/>
    <x v="1"/>
  </r>
  <r>
    <n v="129"/>
    <s v="Morgan-Martinez"/>
    <s v="Mandatory tertiary implementation"/>
    <n v="148500"/>
    <n v="4756"/>
    <n v="3.2026936026936026"/>
    <x v="3"/>
    <n v="55"/>
    <n v="86.472727272727269"/>
    <x v="2"/>
    <s v="AUD"/>
    <n v="1422943200"/>
    <n v="1425103200"/>
    <x v="127"/>
    <d v="2015-02-28T06:00:00"/>
    <n v="26"/>
    <b v="0"/>
    <b v="0"/>
    <s v="food/food trucks"/>
    <x v="0"/>
    <x v="0"/>
  </r>
  <r>
    <n v="130"/>
    <s v="Luna, Anderson and Fox"/>
    <s v="Secured directional encryption"/>
    <n v="9600"/>
    <n v="14925"/>
    <n v="155.46875"/>
    <x v="1"/>
    <n v="533"/>
    <n v="28.001876172607879"/>
    <x v="3"/>
    <s v="DKK"/>
    <n v="1319605200"/>
    <n v="1320991200"/>
    <x v="128"/>
    <d v="2011-11-11T06:00:00"/>
    <n v="17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n v="2443"/>
    <n v="67.996725337699544"/>
    <x v="4"/>
    <s v="GBP"/>
    <n v="1385704800"/>
    <n v="1386828000"/>
    <x v="129"/>
    <d v="2013-12-12T06:00:00"/>
    <n v="14"/>
    <b v="0"/>
    <b v="0"/>
    <s v="technology/web"/>
    <x v="2"/>
    <x v="2"/>
  </r>
  <r>
    <n v="132"/>
    <s v="Flowers and Sons"/>
    <s v="Virtual static core"/>
    <n v="3300"/>
    <n v="3834"/>
    <n v="116.18181818181819"/>
    <x v="1"/>
    <n v="89"/>
    <n v="43.078651685393261"/>
    <x v="1"/>
    <s v="USD"/>
    <n v="1515736800"/>
    <n v="1517119200"/>
    <x v="130"/>
    <d v="2018-01-28T06:00:00"/>
    <n v="17"/>
    <b v="0"/>
    <b v="1"/>
    <s v="theater/plays"/>
    <x v="3"/>
    <x v="3"/>
  </r>
  <r>
    <n v="133"/>
    <s v="Gates PLC"/>
    <s v="Secured content-based product"/>
    <n v="4500"/>
    <n v="13985"/>
    <n v="310.77777777777777"/>
    <x v="1"/>
    <n v="159"/>
    <n v="87.95597484276729"/>
    <x v="1"/>
    <s v="USD"/>
    <n v="1313125200"/>
    <n v="1315026000"/>
    <x v="131"/>
    <d v="2011-09-03T05:00:00"/>
    <n v="23"/>
    <b v="0"/>
    <b v="0"/>
    <s v="music/world music"/>
    <x v="1"/>
    <x v="21"/>
  </r>
  <r>
    <n v="134"/>
    <s v="Caldwell LLC"/>
    <s v="Secured executive concept"/>
    <n v="99500"/>
    <n v="89288"/>
    <n v="89.73668341708543"/>
    <x v="0"/>
    <n v="940"/>
    <n v="94.987234042553197"/>
    <x v="5"/>
    <s v="CHF"/>
    <n v="1308459600"/>
    <n v="1312693200"/>
    <x v="132"/>
    <d v="2011-08-07T05:00:00"/>
    <n v="50"/>
    <b v="0"/>
    <b v="1"/>
    <s v="film &amp; video/documentary"/>
    <x v="4"/>
    <x v="4"/>
  </r>
  <r>
    <n v="135"/>
    <s v="Le, Burton and Evans"/>
    <s v="Balanced zero-defect software"/>
    <n v="7700"/>
    <n v="5488"/>
    <n v="71.272727272727266"/>
    <x v="0"/>
    <n v="117"/>
    <n v="46.905982905982903"/>
    <x v="1"/>
    <s v="USD"/>
    <n v="1362636000"/>
    <n v="1363064400"/>
    <x v="133"/>
    <d v="2013-03-12T05:00:00"/>
    <n v="6"/>
    <b v="0"/>
    <b v="1"/>
    <s v="theater/plays"/>
    <x v="3"/>
    <x v="3"/>
  </r>
  <r>
    <n v="136"/>
    <s v="Briggs PLC"/>
    <s v="Distributed context-sensitive flexibility"/>
    <n v="82800"/>
    <n v="2721"/>
    <n v="3.2862318840579712"/>
    <x v="3"/>
    <n v="58"/>
    <n v="46.913793103448278"/>
    <x v="1"/>
    <s v="USD"/>
    <n v="1402117200"/>
    <n v="1403154000"/>
    <x v="134"/>
    <d v="2014-06-19T05:00:00"/>
    <n v="13"/>
    <b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n v="50"/>
    <n v="94.24"/>
    <x v="1"/>
    <s v="USD"/>
    <n v="1286341200"/>
    <n v="1286859600"/>
    <x v="135"/>
    <d v="2010-10-12T05:00:00"/>
    <n v="7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39130434782615"/>
    <x v="1"/>
    <s v="USD"/>
    <n v="1348808400"/>
    <n v="1349326800"/>
    <x v="136"/>
    <d v="2012-10-04T05:00:00"/>
    <n v="7"/>
    <b v="0"/>
    <b v="0"/>
    <s v="games/mobile games"/>
    <x v="6"/>
    <x v="20"/>
  </r>
  <r>
    <n v="139"/>
    <s v="Hamilton, Wright and Chavez"/>
    <s v="Down-sized empowering protocol"/>
    <n v="92100"/>
    <n v="19246"/>
    <n v="20.896851248642779"/>
    <x v="0"/>
    <n v="326"/>
    <n v="59.036809815950917"/>
    <x v="1"/>
    <s v="USD"/>
    <n v="1429592400"/>
    <n v="1430974800"/>
    <x v="137"/>
    <d v="2015-05-07T05:00:00"/>
    <n v="17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n v="186"/>
    <n v="65.989247311827953"/>
    <x v="1"/>
    <s v="USD"/>
    <n v="1519538400"/>
    <n v="1519970400"/>
    <x v="138"/>
    <d v="2018-03-02T06:00:00"/>
    <n v="6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n v="1071"/>
    <n v="60.992530345471522"/>
    <x v="1"/>
    <s v="USD"/>
    <n v="1434085200"/>
    <n v="1434603600"/>
    <x v="139"/>
    <d v="2015-06-18T05:00:00"/>
    <n v="7"/>
    <b v="0"/>
    <b v="0"/>
    <s v="technology/web"/>
    <x v="2"/>
    <x v="2"/>
  </r>
  <r>
    <n v="142"/>
    <s v="Figueroa Ltd"/>
    <s v="Expanded solution-oriented benchmark"/>
    <n v="5000"/>
    <n v="11502"/>
    <n v="230.04"/>
    <x v="1"/>
    <n v="117"/>
    <n v="98.307692307692307"/>
    <x v="1"/>
    <s v="USD"/>
    <n v="1333688400"/>
    <n v="1337230800"/>
    <x v="107"/>
    <d v="2012-05-17T05:00:00"/>
    <n v="42"/>
    <b v="0"/>
    <b v="0"/>
    <s v="technology/web"/>
    <x v="2"/>
    <x v="2"/>
  </r>
  <r>
    <n v="143"/>
    <s v="Avila-Jones"/>
    <s v="Implemented discrete secured line"/>
    <n v="5400"/>
    <n v="7322"/>
    <n v="135.59259259259258"/>
    <x v="1"/>
    <n v="70"/>
    <n v="104.6"/>
    <x v="1"/>
    <s v="USD"/>
    <n v="1277701200"/>
    <n v="1279429200"/>
    <x v="140"/>
    <d v="2010-07-18T05:00:00"/>
    <n v="21"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n v="135"/>
    <n v="86.066666666666663"/>
    <x v="1"/>
    <s v="USD"/>
    <n v="1560747600"/>
    <n v="1561438800"/>
    <x v="141"/>
    <d v="2019-06-25T05:00:00"/>
    <n v="9"/>
    <b v="0"/>
    <b v="0"/>
    <s v="theater/plays"/>
    <x v="3"/>
    <x v="3"/>
  </r>
  <r>
    <n v="145"/>
    <s v="Fields-Moore"/>
    <s v="Secured reciprocal array"/>
    <n v="25000"/>
    <n v="59128"/>
    <n v="236.512"/>
    <x v="1"/>
    <n v="768"/>
    <n v="76.989583333333329"/>
    <x v="5"/>
    <s v="CHF"/>
    <n v="1410066000"/>
    <n v="1410498000"/>
    <x v="142"/>
    <d v="2014-09-12T05:00:00"/>
    <n v="6"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n v="51"/>
    <n v="29.764705882352942"/>
    <x v="1"/>
    <s v="USD"/>
    <n v="1320732000"/>
    <n v="1322460000"/>
    <x v="143"/>
    <d v="2011-11-28T06:00:00"/>
    <n v="21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n v="199"/>
    <n v="46.91959798994975"/>
    <x v="1"/>
    <s v="USD"/>
    <n v="1465794000"/>
    <n v="1466312400"/>
    <x v="144"/>
    <d v="2016-06-19T05:00:00"/>
    <n v="7"/>
    <b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n v="107"/>
    <n v="105.18691588785046"/>
    <x v="1"/>
    <s v="USD"/>
    <n v="1500958800"/>
    <n v="1501736400"/>
    <x v="145"/>
    <d v="2017-08-03T05:00:00"/>
    <n v="10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n v="195"/>
    <n v="69.907692307692301"/>
    <x v="1"/>
    <s v="USD"/>
    <n v="1357020000"/>
    <n v="1361512800"/>
    <x v="146"/>
    <d v="2013-02-22T06:00:00"/>
    <n v="53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x v="147"/>
    <d v="2018-12-17T06:00:00"/>
    <n v="2"/>
    <b v="0"/>
    <b v="0"/>
    <s v="music/rock"/>
    <x v="1"/>
    <x v="1"/>
  </r>
  <r>
    <n v="151"/>
    <s v="Parker LLC"/>
    <s v="Customizable intermediate extranet"/>
    <n v="137200"/>
    <n v="88037"/>
    <n v="64.166909620991248"/>
    <x v="0"/>
    <n v="1467"/>
    <n v="60.011588275391958"/>
    <x v="1"/>
    <s v="USD"/>
    <n v="1402290000"/>
    <n v="1406696400"/>
    <x v="148"/>
    <d v="2014-07-30T05:00:00"/>
    <n v="52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s v="USD"/>
    <n v="1487311200"/>
    <n v="1487916000"/>
    <x v="149"/>
    <d v="2017-02-24T06:00:00"/>
    <n v="8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n v="5681"/>
    <n v="31.000176025347649"/>
    <x v="1"/>
    <s v="USD"/>
    <n v="1350622800"/>
    <n v="1351141200"/>
    <x v="150"/>
    <d v="2012-10-25T05:00:00"/>
    <n v="7"/>
    <b v="0"/>
    <b v="0"/>
    <s v="theater/plays"/>
    <x v="3"/>
    <x v="3"/>
  </r>
  <r>
    <n v="154"/>
    <s v="Rodriguez-Brown"/>
    <s v="Devolved foreground benchmark"/>
    <n v="171300"/>
    <n v="100650"/>
    <n v="58.75656742556918"/>
    <x v="0"/>
    <n v="1059"/>
    <n v="95.042492917847028"/>
    <x v="1"/>
    <s v="USD"/>
    <n v="1463029200"/>
    <n v="1465016400"/>
    <x v="151"/>
    <d v="2016-06-04T05:00:00"/>
    <n v="24"/>
    <b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n v="1194"/>
    <n v="75.968174204355108"/>
    <x v="1"/>
    <s v="USD"/>
    <n v="1269493200"/>
    <n v="1270789200"/>
    <x v="152"/>
    <d v="2010-04-09T05:00:00"/>
    <n v="16"/>
    <b v="0"/>
    <b v="0"/>
    <s v="theater/plays"/>
    <x v="3"/>
    <x v="3"/>
  </r>
  <r>
    <n v="156"/>
    <s v="Meza-Rogers"/>
    <s v="Streamlined encompassing encryption"/>
    <n v="36400"/>
    <n v="26914"/>
    <n v="73.939560439560438"/>
    <x v="3"/>
    <n v="379"/>
    <n v="71.013192612137203"/>
    <x v="2"/>
    <s v="AUD"/>
    <n v="1570251600"/>
    <n v="1572325200"/>
    <x v="153"/>
    <d v="2019-10-29T05:00:00"/>
    <n v="25"/>
    <b v="0"/>
    <b v="0"/>
    <s v="music/rock"/>
    <x v="1"/>
    <x v="1"/>
  </r>
  <r>
    <n v="157"/>
    <s v="Curtis-Curtis"/>
    <s v="User-friendly reciprocal initiative"/>
    <n v="4200"/>
    <n v="2212"/>
    <n v="52.666666666666664"/>
    <x v="0"/>
    <n v="30"/>
    <n v="73.733333333333334"/>
    <x v="2"/>
    <s v="AUD"/>
    <n v="1388383200"/>
    <n v="1389420000"/>
    <x v="154"/>
    <d v="2014-01-11T06:00:00"/>
    <n v="13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n v="41"/>
    <n v="113.17073170731707"/>
    <x v="1"/>
    <s v="USD"/>
    <n v="1449554400"/>
    <n v="1449640800"/>
    <x v="155"/>
    <d v="2015-12-09T06:00:00"/>
    <n v="2"/>
    <b v="0"/>
    <b v="0"/>
    <s v="music/rock"/>
    <x v="1"/>
    <x v="1"/>
  </r>
  <r>
    <n v="159"/>
    <s v="Clarke, Anderson and Lee"/>
    <s v="Robust explicit hardware"/>
    <n v="191200"/>
    <n v="191222"/>
    <n v="100.01150627615063"/>
    <x v="1"/>
    <n v="1821"/>
    <n v="105.00933552992861"/>
    <x v="1"/>
    <s v="USD"/>
    <n v="1553662800"/>
    <n v="1555218000"/>
    <x v="156"/>
    <d v="2019-04-14T05:00:00"/>
    <n v="19"/>
    <b v="0"/>
    <b v="1"/>
    <s v="theater/plays"/>
    <x v="3"/>
    <x v="3"/>
  </r>
  <r>
    <n v="160"/>
    <s v="Evans Group"/>
    <s v="Stand-alone actuating support"/>
    <n v="8000"/>
    <n v="12985"/>
    <n v="162.3125"/>
    <x v="1"/>
    <n v="164"/>
    <n v="79.176829268292678"/>
    <x v="1"/>
    <s v="USD"/>
    <n v="1556341200"/>
    <n v="1557723600"/>
    <x v="157"/>
    <d v="2019-05-13T05:00:00"/>
    <n v="17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n v="75"/>
    <n v="57.333333333333336"/>
    <x v="1"/>
    <s v="USD"/>
    <n v="1442984400"/>
    <n v="1443502800"/>
    <x v="158"/>
    <d v="2015-09-29T05:00:00"/>
    <n v="7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n v="157"/>
    <n v="58.178343949044589"/>
    <x v="5"/>
    <s v="CHF"/>
    <n v="1544248800"/>
    <n v="1546840800"/>
    <x v="159"/>
    <d v="2019-01-07T06:00:00"/>
    <n v="31"/>
    <b v="0"/>
    <b v="0"/>
    <s v="music/rock"/>
    <x v="1"/>
    <x v="1"/>
  </r>
  <r>
    <n v="163"/>
    <s v="Burton-Watkins"/>
    <s v="Extended reciprocal circuit"/>
    <n v="3500"/>
    <n v="8864"/>
    <n v="253.25714285714287"/>
    <x v="1"/>
    <n v="246"/>
    <n v="36.032520325203251"/>
    <x v="1"/>
    <s v="USD"/>
    <n v="1508475600"/>
    <n v="1512712800"/>
    <x v="160"/>
    <d v="2017-12-08T06:00:00"/>
    <n v="50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5"/>
    <x v="1"/>
    <n v="1396"/>
    <n v="107.99068767908309"/>
    <x v="1"/>
    <s v="USD"/>
    <n v="1507438800"/>
    <n v="1507525200"/>
    <x v="161"/>
    <d v="2017-10-09T05:00:00"/>
    <n v="2"/>
    <b v="0"/>
    <b v="0"/>
    <s v="theater/plays"/>
    <x v="3"/>
    <x v="3"/>
  </r>
  <r>
    <n v="165"/>
    <s v="Cordova Ltd"/>
    <s v="Synergized radical product"/>
    <n v="90400"/>
    <n v="110279"/>
    <n v="121.99004424778761"/>
    <x v="1"/>
    <n v="2506"/>
    <n v="44.005985634477256"/>
    <x v="1"/>
    <s v="USD"/>
    <n v="1501563600"/>
    <n v="1504328400"/>
    <x v="162"/>
    <d v="2017-09-02T05:00:00"/>
    <n v="33"/>
    <b v="0"/>
    <b v="0"/>
    <s v="technology/web"/>
    <x v="2"/>
    <x v="2"/>
  </r>
  <r>
    <n v="166"/>
    <s v="Brown-Vang"/>
    <s v="Robust heuristic artificial intelligence"/>
    <n v="9800"/>
    <n v="13439"/>
    <n v="137.13265306122449"/>
    <x v="1"/>
    <n v="244"/>
    <n v="55.077868852459019"/>
    <x v="1"/>
    <s v="USD"/>
    <n v="1292997600"/>
    <n v="1293343200"/>
    <x v="163"/>
    <d v="2010-12-26T06:00:00"/>
    <n v="5"/>
    <b v="0"/>
    <b v="0"/>
    <s v="photography/photography books"/>
    <x v="7"/>
    <x v="14"/>
  </r>
  <r>
    <n v="167"/>
    <s v="Cruz-Ward"/>
    <s v="Robust content-based emulation"/>
    <n v="2600"/>
    <n v="10804"/>
    <n v="415.53846153846155"/>
    <x v="1"/>
    <n v="146"/>
    <n v="74"/>
    <x v="2"/>
    <s v="AUD"/>
    <n v="1370840400"/>
    <n v="1371704400"/>
    <x v="164"/>
    <d v="2013-06-20T05:00:00"/>
    <n v="11"/>
    <b v="0"/>
    <b v="0"/>
    <s v="theater/plays"/>
    <x v="3"/>
    <x v="3"/>
  </r>
  <r>
    <n v="168"/>
    <s v="Hernandez Group"/>
    <s v="Ergonomic uniform open system"/>
    <n v="128100"/>
    <n v="40107"/>
    <n v="31.30913348946136"/>
    <x v="0"/>
    <n v="955"/>
    <n v="41.996858638743454"/>
    <x v="3"/>
    <s v="DKK"/>
    <n v="1550815200"/>
    <n v="1552798800"/>
    <x v="165"/>
    <d v="2019-03-17T05:00:00"/>
    <n v="24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n v="1267"/>
    <n v="77.988161010260455"/>
    <x v="1"/>
    <s v="USD"/>
    <n v="1339909200"/>
    <n v="1342328400"/>
    <x v="166"/>
    <d v="2012-07-15T05:00:00"/>
    <n v="29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n v="67"/>
    <n v="82.507462686567166"/>
    <x v="1"/>
    <s v="USD"/>
    <n v="1501736400"/>
    <n v="1502341200"/>
    <x v="167"/>
    <d v="2017-08-10T05:00:00"/>
    <n v="8"/>
    <b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n v="5"/>
    <n v="104.2"/>
    <x v="1"/>
    <s v="USD"/>
    <n v="1395291600"/>
    <n v="1397192400"/>
    <x v="168"/>
    <d v="2014-04-11T05:00:00"/>
    <n v="23"/>
    <b v="0"/>
    <b v="0"/>
    <s v="publishing/translations"/>
    <x v="5"/>
    <x v="18"/>
  </r>
  <r>
    <n v="172"/>
    <s v="Nixon Inc"/>
    <s v="Centralized national firmware"/>
    <n v="800"/>
    <n v="663"/>
    <n v="82.875"/>
    <x v="0"/>
    <n v="26"/>
    <n v="25.5"/>
    <x v="1"/>
    <s v="USD"/>
    <n v="1405746000"/>
    <n v="1407042000"/>
    <x v="169"/>
    <d v="2014-08-03T05:00:00"/>
    <n v="16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n v="1561"/>
    <n v="100.98334401024984"/>
    <x v="1"/>
    <s v="USD"/>
    <n v="1368853200"/>
    <n v="1369371600"/>
    <x v="170"/>
    <d v="2013-05-24T05:00:00"/>
    <n v="7"/>
    <b v="0"/>
    <b v="0"/>
    <s v="theater/plays"/>
    <x v="3"/>
    <x v="3"/>
  </r>
  <r>
    <n v="174"/>
    <s v="Santos, Black and Donovan"/>
    <s v="Pre-emptive scalable access"/>
    <n v="600"/>
    <n v="5368"/>
    <n v="894.66666666666663"/>
    <x v="1"/>
    <n v="48"/>
    <n v="111.83333333333333"/>
    <x v="1"/>
    <s v="USD"/>
    <n v="1444021200"/>
    <n v="1444107600"/>
    <x v="171"/>
    <d v="2015-10-06T05:00:00"/>
    <n v="2"/>
    <b v="0"/>
    <b v="1"/>
    <s v="technology/wearables"/>
    <x v="2"/>
    <x v="8"/>
  </r>
  <r>
    <n v="175"/>
    <s v="Jones, Contreras and Burnett"/>
    <s v="Sharable intangible migration"/>
    <n v="181200"/>
    <n v="47459"/>
    <n v="26.19150110375276"/>
    <x v="0"/>
    <n v="1130"/>
    <n v="41.999115044247787"/>
    <x v="1"/>
    <s v="USD"/>
    <n v="1472619600"/>
    <n v="1474261200"/>
    <x v="172"/>
    <d v="2016-09-19T05:00:00"/>
    <n v="20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n v="782"/>
    <n v="110.05115089514067"/>
    <x v="1"/>
    <s v="USD"/>
    <n v="1472878800"/>
    <n v="1473656400"/>
    <x v="173"/>
    <d v="2016-09-12T05:00:00"/>
    <n v="10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n v="2739"/>
    <n v="58.997079225994888"/>
    <x v="1"/>
    <s v="USD"/>
    <n v="1289800800"/>
    <n v="1291960800"/>
    <x v="174"/>
    <d v="2010-12-10T06:00:00"/>
    <n v="26"/>
    <b v="0"/>
    <b v="0"/>
    <s v="theater/plays"/>
    <x v="3"/>
    <x v="3"/>
  </r>
  <r>
    <n v="178"/>
    <s v="Alexander-Williams"/>
    <s v="Triple-buffered cohesive structure"/>
    <n v="7200"/>
    <n v="6927"/>
    <n v="96.208333333333329"/>
    <x v="0"/>
    <n v="210"/>
    <n v="32.985714285714288"/>
    <x v="1"/>
    <s v="USD"/>
    <n v="1505970000"/>
    <n v="1506747600"/>
    <x v="175"/>
    <d v="2017-09-30T05:00:00"/>
    <n v="10"/>
    <b v="0"/>
    <b v="0"/>
    <s v="food/food trucks"/>
    <x v="0"/>
    <x v="0"/>
  </r>
  <r>
    <n v="179"/>
    <s v="Marks Ltd"/>
    <s v="Realigned human-resource orchestration"/>
    <n v="44500"/>
    <n v="159185"/>
    <n v="357.71910112359552"/>
    <x v="1"/>
    <n v="3537"/>
    <n v="45.005654509471306"/>
    <x v="0"/>
    <s v="CAD"/>
    <n v="1363496400"/>
    <n v="1363582800"/>
    <x v="176"/>
    <d v="2013-03-18T05:00:00"/>
    <n v="2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n v="2107"/>
    <n v="81.98196487897485"/>
    <x v="2"/>
    <s v="AUD"/>
    <n v="1269234000"/>
    <n v="1269666000"/>
    <x v="177"/>
    <d v="2010-03-27T05:00:00"/>
    <n v="6"/>
    <b v="0"/>
    <b v="0"/>
    <s v="technology/wearables"/>
    <x v="2"/>
    <x v="8"/>
  </r>
  <r>
    <n v="181"/>
    <s v="Daniels, Rose and Tyler"/>
    <s v="Centralized global approach"/>
    <n v="8600"/>
    <n v="5315"/>
    <n v="61.802325581395351"/>
    <x v="0"/>
    <n v="136"/>
    <n v="39.080882352941174"/>
    <x v="1"/>
    <s v="USD"/>
    <n v="1507093200"/>
    <n v="1508648400"/>
    <x v="178"/>
    <d v="2017-10-22T05:00:00"/>
    <n v="19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n v="3318"/>
    <n v="58.996383363471971"/>
    <x v="3"/>
    <s v="DKK"/>
    <n v="1560574800"/>
    <n v="1561957200"/>
    <x v="179"/>
    <d v="2019-07-01T05:00:00"/>
    <n v="17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36"/>
    <x v="0"/>
    <n v="86"/>
    <n v="40.988372093023258"/>
    <x v="0"/>
    <s v="CAD"/>
    <n v="1284008400"/>
    <n v="1285131600"/>
    <x v="180"/>
    <d v="2010-09-22T05:00:00"/>
    <n v="14"/>
    <b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n v="340"/>
    <n v="31.029411764705884"/>
    <x v="1"/>
    <s v="USD"/>
    <n v="1556859600"/>
    <n v="1556946000"/>
    <x v="181"/>
    <d v="2019-05-04T05:00:00"/>
    <n v="2"/>
    <b v="0"/>
    <b v="0"/>
    <s v="theater/plays"/>
    <x v="3"/>
    <x v="3"/>
  </r>
  <r>
    <n v="185"/>
    <s v="Bailey PLC"/>
    <s v="Innovative actuating conglomeration"/>
    <n v="1000"/>
    <n v="718"/>
    <n v="71.8"/>
    <x v="0"/>
    <n v="19"/>
    <n v="37.789473684210527"/>
    <x v="1"/>
    <s v="USD"/>
    <n v="1526187600"/>
    <n v="1527138000"/>
    <x v="182"/>
    <d v="2018-05-24T05:00:00"/>
    <n v="12"/>
    <b v="0"/>
    <b v="0"/>
    <s v="film &amp; video/television"/>
    <x v="4"/>
    <x v="19"/>
  </r>
  <r>
    <n v="186"/>
    <s v="Parker Group"/>
    <s v="Grass-roots foreground policy"/>
    <n v="88800"/>
    <n v="28358"/>
    <n v="31.934684684684683"/>
    <x v="0"/>
    <n v="886"/>
    <n v="32.006772009029348"/>
    <x v="1"/>
    <s v="USD"/>
    <n v="1400821200"/>
    <n v="1402117200"/>
    <x v="183"/>
    <d v="2014-06-07T05:00:00"/>
    <n v="16"/>
    <b v="0"/>
    <b v="0"/>
    <s v="theater/plays"/>
    <x v="3"/>
    <x v="3"/>
  </r>
  <r>
    <n v="187"/>
    <s v="Fox Group"/>
    <s v="Horizontal transitional paradigm"/>
    <n v="60200"/>
    <n v="138384"/>
    <n v="229.87375415282392"/>
    <x v="1"/>
    <n v="1442"/>
    <n v="95.966712898751737"/>
    <x v="0"/>
    <s v="CAD"/>
    <n v="1361599200"/>
    <n v="1364014800"/>
    <x v="184"/>
    <d v="2013-03-23T05:00:00"/>
    <n v="29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n v="35"/>
    <n v="75"/>
    <x v="6"/>
    <s v="EUR"/>
    <n v="1417500000"/>
    <n v="1417586400"/>
    <x v="185"/>
    <d v="2014-12-03T06:00:00"/>
    <n v="2"/>
    <b v="0"/>
    <b v="0"/>
    <s v="theater/plays"/>
    <x v="3"/>
    <x v="3"/>
  </r>
  <r>
    <n v="189"/>
    <s v="Anthony-Shaw"/>
    <s v="Switchable contextually-based access"/>
    <n v="191300"/>
    <n v="45004"/>
    <n v="23.525352848928385"/>
    <x v="3"/>
    <n v="441"/>
    <n v="102.0498866213152"/>
    <x v="1"/>
    <s v="USD"/>
    <n v="1457071200"/>
    <n v="1457071200"/>
    <x v="186"/>
    <d v="2016-03-04T06:00:00"/>
    <n v="1"/>
    <b v="0"/>
    <b v="0"/>
    <s v="theater/plays"/>
    <x v="3"/>
    <x v="3"/>
  </r>
  <r>
    <n v="190"/>
    <s v="Cook LLC"/>
    <s v="Up-sized dynamic throughput"/>
    <n v="3700"/>
    <n v="2538"/>
    <n v="68.594594594594597"/>
    <x v="0"/>
    <n v="24"/>
    <n v="105.75"/>
    <x v="1"/>
    <s v="USD"/>
    <n v="1370322000"/>
    <n v="1370408400"/>
    <x v="187"/>
    <d v="2013-06-05T05:00:00"/>
    <n v="2"/>
    <b v="0"/>
    <b v="1"/>
    <s v="theater/plays"/>
    <x v="3"/>
    <x v="3"/>
  </r>
  <r>
    <n v="191"/>
    <s v="Sutton PLC"/>
    <s v="Mandatory reciprocal superstructure"/>
    <n v="8400"/>
    <n v="3188"/>
    <n v="37.952380952380949"/>
    <x v="0"/>
    <n v="86"/>
    <n v="37.069767441860463"/>
    <x v="6"/>
    <s v="EUR"/>
    <n v="1552366800"/>
    <n v="1552626000"/>
    <x v="188"/>
    <d v="2019-03-15T05:00:00"/>
    <n v="4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n v="243"/>
    <n v="35.049382716049379"/>
    <x v="1"/>
    <s v="USD"/>
    <n v="1403845200"/>
    <n v="1404190800"/>
    <x v="189"/>
    <d v="2014-07-01T05:00:00"/>
    <n v="5"/>
    <b v="0"/>
    <b v="0"/>
    <s v="music/rock"/>
    <x v="1"/>
    <x v="1"/>
  </r>
  <r>
    <n v="193"/>
    <s v="Calhoun, Rogers and Long"/>
    <s v="Progressive discrete hub"/>
    <n v="6600"/>
    <n v="3012"/>
    <n v="45.636363636363633"/>
    <x v="0"/>
    <n v="65"/>
    <n v="46.338461538461537"/>
    <x v="1"/>
    <s v="USD"/>
    <n v="1523163600"/>
    <n v="1523509200"/>
    <x v="190"/>
    <d v="2018-04-12T05:00:00"/>
    <n v="5"/>
    <b v="1"/>
    <b v="0"/>
    <s v="music/indie rock"/>
    <x v="1"/>
    <x v="7"/>
  </r>
  <r>
    <n v="194"/>
    <s v="Sandoval Group"/>
    <s v="Assimilated multi-tasking archive"/>
    <n v="7100"/>
    <n v="8716"/>
    <n v="122.7605633802817"/>
    <x v="1"/>
    <n v="126"/>
    <n v="69.174603174603178"/>
    <x v="1"/>
    <s v="USD"/>
    <n v="1442206800"/>
    <n v="1443589200"/>
    <x v="191"/>
    <d v="2015-09-30T05:00:00"/>
    <n v="17"/>
    <b v="0"/>
    <b v="0"/>
    <s v="music/metal"/>
    <x v="1"/>
    <x v="16"/>
  </r>
  <r>
    <n v="195"/>
    <s v="Smith and Sons"/>
    <s v="Upgradable high-level solution"/>
    <n v="15800"/>
    <n v="57157"/>
    <n v="361.75316455696202"/>
    <x v="1"/>
    <n v="524"/>
    <n v="109.07824427480917"/>
    <x v="1"/>
    <s v="USD"/>
    <n v="1532840400"/>
    <n v="1533445200"/>
    <x v="192"/>
    <d v="2018-08-05T05:00:00"/>
    <n v="8"/>
    <b v="0"/>
    <b v="0"/>
    <s v="music/electric music"/>
    <x v="1"/>
    <x v="5"/>
  </r>
  <r>
    <n v="196"/>
    <s v="King Inc"/>
    <s v="Organic bandwidth-monitored frame"/>
    <n v="8200"/>
    <n v="5178"/>
    <n v="63.146341463414636"/>
    <x v="0"/>
    <n v="100"/>
    <n v="51.78"/>
    <x v="3"/>
    <s v="DKK"/>
    <n v="1472878800"/>
    <n v="1474520400"/>
    <x v="173"/>
    <d v="2016-09-22T05:00:00"/>
    <n v="20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n v="1989"/>
    <n v="82.010055304172951"/>
    <x v="1"/>
    <s v="USD"/>
    <n v="1498194000"/>
    <n v="1499403600"/>
    <x v="193"/>
    <d v="2017-07-07T05:00:00"/>
    <n v="15"/>
    <b v="0"/>
    <b v="0"/>
    <s v="film &amp; video/drama"/>
    <x v="4"/>
    <x v="6"/>
  </r>
  <r>
    <n v="198"/>
    <s v="Palmer Inc"/>
    <s v="Universal multi-state capability"/>
    <n v="63200"/>
    <n v="6041"/>
    <n v="9.5585443037974684"/>
    <x v="0"/>
    <n v="168"/>
    <n v="35.958333333333336"/>
    <x v="1"/>
    <s v="USD"/>
    <n v="1281070800"/>
    <n v="1283576400"/>
    <x v="194"/>
    <d v="2010-09-04T05:00:00"/>
    <n v="30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n v="13"/>
    <n v="74.461538461538467"/>
    <x v="1"/>
    <s v="USD"/>
    <n v="1436245200"/>
    <n v="1436590800"/>
    <x v="195"/>
    <d v="2015-07-11T05:00:00"/>
    <n v="5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x v="152"/>
    <d v="2010-04-05T05:00:00"/>
    <n v="12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n v="157"/>
    <n v="91.114649681528661"/>
    <x v="1"/>
    <s v="USD"/>
    <n v="1406264400"/>
    <n v="1407819600"/>
    <x v="196"/>
    <d v="2014-08-12T05:00:00"/>
    <n v="19"/>
    <b v="0"/>
    <b v="0"/>
    <s v="technology/web"/>
    <x v="2"/>
    <x v="2"/>
  </r>
  <r>
    <n v="202"/>
    <s v="Mcknight-Freeman"/>
    <s v="Upgradable scalable methodology"/>
    <n v="8300"/>
    <n v="6543"/>
    <n v="78.831325301204814"/>
    <x v="3"/>
    <n v="82"/>
    <n v="79.792682926829272"/>
    <x v="1"/>
    <s v="USD"/>
    <n v="1317531600"/>
    <n v="1317877200"/>
    <x v="197"/>
    <d v="2011-10-06T05:00:00"/>
    <n v="5"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n v="4498"/>
    <n v="42.999777678968428"/>
    <x v="2"/>
    <s v="AUD"/>
    <n v="1484632800"/>
    <n v="1484805600"/>
    <x v="198"/>
    <d v="2017-01-19T06:00:00"/>
    <n v="3"/>
    <b v="0"/>
    <b v="0"/>
    <s v="theater/plays"/>
    <x v="3"/>
    <x v="3"/>
  </r>
  <r>
    <n v="204"/>
    <s v="Daniel-Luna"/>
    <s v="Mandatory multimedia leverage"/>
    <n v="75000"/>
    <n v="2529"/>
    <n v="3.3719999999999999"/>
    <x v="0"/>
    <n v="40"/>
    <n v="63.225000000000001"/>
    <x v="1"/>
    <s v="USD"/>
    <n v="1301806800"/>
    <n v="1302670800"/>
    <x v="199"/>
    <d v="2011-04-13T05:00:00"/>
    <n v="11"/>
    <b v="0"/>
    <b v="0"/>
    <s v="music/jazz"/>
    <x v="1"/>
    <x v="17"/>
  </r>
  <r>
    <n v="205"/>
    <s v="Weaver-Marquez"/>
    <s v="Focused analyzing circuit"/>
    <n v="1300"/>
    <n v="5614"/>
    <n v="431.84615384615387"/>
    <x v="1"/>
    <n v="80"/>
    <n v="70.174999999999997"/>
    <x v="1"/>
    <s v="USD"/>
    <n v="1539752400"/>
    <n v="1540789200"/>
    <x v="200"/>
    <d v="2018-10-29T05:00:00"/>
    <n v="13"/>
    <b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n v="57"/>
    <n v="61.333333333333336"/>
    <x v="1"/>
    <s v="USD"/>
    <n v="1267250400"/>
    <n v="1268028000"/>
    <x v="201"/>
    <d v="2010-03-08T06:00:00"/>
    <n v="10"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n v="43"/>
    <n v="99"/>
    <x v="1"/>
    <s v="USD"/>
    <n v="1535432400"/>
    <n v="1537160400"/>
    <x v="202"/>
    <d v="2018-09-17T05:00:00"/>
    <n v="21"/>
    <b v="0"/>
    <b v="1"/>
    <s v="music/rock"/>
    <x v="1"/>
    <x v="1"/>
  </r>
  <r>
    <n v="208"/>
    <s v="Jackson Inc"/>
    <s v="Mandatory multi-tasking encryption"/>
    <n v="196900"/>
    <n v="199110"/>
    <n v="101.12239715591672"/>
    <x v="1"/>
    <n v="2053"/>
    <n v="96.984900146127615"/>
    <x v="1"/>
    <s v="USD"/>
    <n v="1510207200"/>
    <n v="1512280800"/>
    <x v="203"/>
    <d v="2017-12-03T06:00:00"/>
    <n v="25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n v="808"/>
    <n v="51.004950495049506"/>
    <x v="2"/>
    <s v="AUD"/>
    <n v="1462510800"/>
    <n v="1463115600"/>
    <x v="204"/>
    <d v="2016-05-13T05:00:00"/>
    <n v="8"/>
    <b v="0"/>
    <b v="0"/>
    <s v="film &amp; video/documentary"/>
    <x v="4"/>
    <x v="4"/>
  </r>
  <r>
    <n v="210"/>
    <s v="Schultz Inc"/>
    <s v="Synergistic tertiary time-frame"/>
    <n v="9400"/>
    <n v="6338"/>
    <n v="67.425531914893611"/>
    <x v="0"/>
    <n v="226"/>
    <n v="28.044247787610619"/>
    <x v="3"/>
    <s v="DKK"/>
    <n v="1488520800"/>
    <n v="1490850000"/>
    <x v="205"/>
    <d v="2017-03-30T05:00:00"/>
    <n v="28"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n v="1625"/>
    <n v="60.984615384615381"/>
    <x v="1"/>
    <s v="USD"/>
    <n v="1377579600"/>
    <n v="1379653200"/>
    <x v="206"/>
    <d v="2013-09-20T05:00:00"/>
    <n v="25"/>
    <b v="0"/>
    <b v="0"/>
    <s v="theater/plays"/>
    <x v="3"/>
    <x v="3"/>
  </r>
  <r>
    <n v="212"/>
    <s v="Johnson Inc"/>
    <s v="Profound next generation infrastructure"/>
    <n v="8100"/>
    <n v="12300"/>
    <n v="151.85185185185185"/>
    <x v="1"/>
    <n v="168"/>
    <n v="73.214285714285708"/>
    <x v="1"/>
    <s v="USD"/>
    <n v="1576389600"/>
    <n v="1580364000"/>
    <x v="207"/>
    <d v="2020-01-30T06:00:00"/>
    <n v="47"/>
    <b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n v="4289"/>
    <n v="39.997435299603637"/>
    <x v="1"/>
    <s v="USD"/>
    <n v="1289019600"/>
    <n v="1289714400"/>
    <x v="208"/>
    <d v="2010-11-14T06:00:00"/>
    <n v="9"/>
    <b v="0"/>
    <b v="1"/>
    <s v="music/indie rock"/>
    <x v="1"/>
    <x v="7"/>
  </r>
  <r>
    <n v="214"/>
    <s v="Sullivan Group"/>
    <s v="Open-source fresh-thinking policy"/>
    <n v="1400"/>
    <n v="14324"/>
    <n v="1023.1428571428571"/>
    <x v="1"/>
    <n v="165"/>
    <n v="86.812121212121212"/>
    <x v="1"/>
    <s v="USD"/>
    <n v="1282194000"/>
    <n v="1282712400"/>
    <x v="209"/>
    <d v="2010-08-25T05:00:00"/>
    <n v="7"/>
    <b v="0"/>
    <b v="0"/>
    <s v="music/rock"/>
    <x v="1"/>
    <x v="1"/>
  </r>
  <r>
    <n v="215"/>
    <s v="Vargas, Banks and Palmer"/>
    <s v="Extended 24/7 implementation"/>
    <n v="156800"/>
    <n v="6024"/>
    <n v="3.8418367346938775"/>
    <x v="0"/>
    <n v="143"/>
    <n v="42.125874125874127"/>
    <x v="1"/>
    <s v="USD"/>
    <n v="1550037600"/>
    <n v="1550210400"/>
    <x v="210"/>
    <d v="2019-02-15T06:00:00"/>
    <n v="3"/>
    <b v="0"/>
    <b v="0"/>
    <s v="theater/plays"/>
    <x v="3"/>
    <x v="3"/>
  </r>
  <r>
    <n v="216"/>
    <s v="Johnson, Dixon and Zimmerman"/>
    <s v="Organic dynamic algorithm"/>
    <n v="121700"/>
    <n v="188721"/>
    <n v="155.0706655710764"/>
    <x v="1"/>
    <n v="1815"/>
    <n v="103.97851239669421"/>
    <x v="1"/>
    <s v="USD"/>
    <n v="1321941600"/>
    <n v="1322114400"/>
    <x v="211"/>
    <d v="2011-11-24T06:00:00"/>
    <n v="3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n v="934"/>
    <n v="62.003211991434689"/>
    <x v="1"/>
    <s v="USD"/>
    <n v="1556427600"/>
    <n v="1557205200"/>
    <x v="212"/>
    <d v="2019-05-07T05:00:00"/>
    <n v="10"/>
    <b v="0"/>
    <b v="0"/>
    <s v="film &amp; video/science fiction"/>
    <x v="4"/>
    <x v="22"/>
  </r>
  <r>
    <n v="218"/>
    <s v="Price-Rodriguez"/>
    <s v="Adaptive logistical initiative"/>
    <n v="5700"/>
    <n v="12309"/>
    <n v="215.94736842105263"/>
    <x v="1"/>
    <n v="397"/>
    <n v="31.005037783375315"/>
    <x v="4"/>
    <s v="GBP"/>
    <n v="1320991200"/>
    <n v="1323928800"/>
    <x v="213"/>
    <d v="2011-12-15T06:00:00"/>
    <n v="35"/>
    <b v="0"/>
    <b v="1"/>
    <s v="film &amp; video/shorts"/>
    <x v="4"/>
    <x v="12"/>
  </r>
  <r>
    <n v="219"/>
    <s v="Huang-Henderson"/>
    <s v="Stand-alone mobile customer loyalty"/>
    <n v="41700"/>
    <n v="138497"/>
    <n v="332.12709832134294"/>
    <x v="1"/>
    <n v="1539"/>
    <n v="89.991552956465242"/>
    <x v="1"/>
    <s v="USD"/>
    <n v="1345093200"/>
    <n v="1346130000"/>
    <x v="214"/>
    <d v="2012-08-28T05:00:00"/>
    <n v="13"/>
    <b v="0"/>
    <b v="0"/>
    <s v="film &amp; video/animation"/>
    <x v="4"/>
    <x v="10"/>
  </r>
  <r>
    <n v="220"/>
    <s v="Owens-Le"/>
    <s v="Focused composite approach"/>
    <n v="7900"/>
    <n v="667"/>
    <n v="8.4430379746835449"/>
    <x v="0"/>
    <n v="17"/>
    <n v="39.235294117647058"/>
    <x v="1"/>
    <s v="USD"/>
    <n v="1309496400"/>
    <n v="1311051600"/>
    <x v="215"/>
    <d v="2011-07-19T05:00:00"/>
    <n v="19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n v="2179"/>
    <n v="54.993116108306566"/>
    <x v="1"/>
    <s v="USD"/>
    <n v="1340254800"/>
    <n v="1340427600"/>
    <x v="216"/>
    <d v="2012-06-23T05:00:00"/>
    <n v="3"/>
    <b v="1"/>
    <b v="0"/>
    <s v="food/food trucks"/>
    <x v="0"/>
    <x v="0"/>
  </r>
  <r>
    <n v="222"/>
    <s v="Johnson LLC"/>
    <s v="Cross-group cohesive circuit"/>
    <n v="4800"/>
    <n v="6623"/>
    <n v="137.97916666666666"/>
    <x v="1"/>
    <n v="138"/>
    <n v="47.992753623188406"/>
    <x v="1"/>
    <s v="USD"/>
    <n v="1412226000"/>
    <n v="1412312400"/>
    <x v="217"/>
    <d v="2014-10-03T05:00:00"/>
    <n v="2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n v="931"/>
    <n v="87.966702470461868"/>
    <x v="1"/>
    <s v="USD"/>
    <n v="1458104400"/>
    <n v="1459314000"/>
    <x v="218"/>
    <d v="2016-03-30T05:00:00"/>
    <n v="15"/>
    <b v="0"/>
    <b v="0"/>
    <s v="theater/plays"/>
    <x v="3"/>
    <x v="3"/>
  </r>
  <r>
    <n v="224"/>
    <s v="Lester-Moore"/>
    <s v="Diverse analyzing definition"/>
    <n v="46300"/>
    <n v="186885"/>
    <n v="403.63930885529157"/>
    <x v="1"/>
    <n v="3594"/>
    <n v="51.999165275459099"/>
    <x v="1"/>
    <s v="USD"/>
    <n v="1411534800"/>
    <n v="1415426400"/>
    <x v="219"/>
    <d v="2014-11-08T06:00:00"/>
    <n v="46"/>
    <b v="0"/>
    <b v="0"/>
    <s v="film &amp; video/science fiction"/>
    <x v="4"/>
    <x v="22"/>
  </r>
  <r>
    <n v="225"/>
    <s v="Fox-Quinn"/>
    <s v="Enterprise-wide reciprocal success"/>
    <n v="67800"/>
    <n v="176398"/>
    <n v="260.1740412979351"/>
    <x v="1"/>
    <n v="5880"/>
    <n v="29.999659863945578"/>
    <x v="1"/>
    <s v="USD"/>
    <n v="1399093200"/>
    <n v="1399093200"/>
    <x v="220"/>
    <d v="2014-05-03T05:00:00"/>
    <n v="1"/>
    <b v="1"/>
    <b v="0"/>
    <s v="music/rock"/>
    <x v="1"/>
    <x v="1"/>
  </r>
  <r>
    <n v="226"/>
    <s v="Garcia Inc"/>
    <s v="Progressive neutral middleware"/>
    <n v="3000"/>
    <n v="10999"/>
    <n v="366.63333333333333"/>
    <x v="1"/>
    <n v="112"/>
    <n v="98.205357142857139"/>
    <x v="1"/>
    <s v="USD"/>
    <n v="1270702800"/>
    <n v="1273899600"/>
    <x v="221"/>
    <d v="2010-05-15T05:00:00"/>
    <n v="38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n v="943"/>
    <n v="108.96182396606575"/>
    <x v="1"/>
    <s v="USD"/>
    <n v="1431666000"/>
    <n v="1432184400"/>
    <x v="222"/>
    <d v="2015-05-21T05:00:00"/>
    <n v="7"/>
    <b v="0"/>
    <b v="0"/>
    <s v="games/mobile games"/>
    <x v="6"/>
    <x v="20"/>
  </r>
  <r>
    <n v="228"/>
    <s v="Pineda Group"/>
    <s v="Exclusive real-time protocol"/>
    <n v="137900"/>
    <n v="165352"/>
    <n v="119.90717911530095"/>
    <x v="1"/>
    <n v="2468"/>
    <n v="66.998379254457049"/>
    <x v="1"/>
    <s v="USD"/>
    <n v="1472619600"/>
    <n v="1474779600"/>
    <x v="172"/>
    <d v="2016-09-25T05:00:00"/>
    <n v="26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n v="2551"/>
    <n v="64.99333594668758"/>
    <x v="1"/>
    <s v="USD"/>
    <n v="1496293200"/>
    <n v="1500440400"/>
    <x v="223"/>
    <d v="2017-07-19T05:00:00"/>
    <n v="49"/>
    <b v="0"/>
    <b v="1"/>
    <s v="games/mobile games"/>
    <x v="6"/>
    <x v="20"/>
  </r>
  <r>
    <n v="230"/>
    <s v="Miranda, Hall and Mcgrath"/>
    <s v="Progressive value-added ability"/>
    <n v="2400"/>
    <n v="10084"/>
    <n v="420.16666666666669"/>
    <x v="1"/>
    <n v="101"/>
    <n v="99.841584158415841"/>
    <x v="1"/>
    <s v="USD"/>
    <n v="1575612000"/>
    <n v="1575612000"/>
    <x v="224"/>
    <d v="2019-12-06T06:00:00"/>
    <n v="1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n v="67"/>
    <n v="82.432835820895519"/>
    <x v="1"/>
    <s v="USD"/>
    <n v="1369112400"/>
    <n v="1374123600"/>
    <x v="225"/>
    <d v="2013-07-18T05:00:00"/>
    <n v="59"/>
    <b v="0"/>
    <b v="0"/>
    <s v="theater/plays"/>
    <x v="3"/>
    <x v="3"/>
  </r>
  <r>
    <n v="232"/>
    <s v="Davis-Rodriguez"/>
    <s v="Progressive secondary portal"/>
    <n v="3400"/>
    <n v="5823"/>
    <n v="171.26470588235293"/>
    <x v="1"/>
    <n v="92"/>
    <n v="63.293478260869563"/>
    <x v="1"/>
    <s v="USD"/>
    <n v="1469422800"/>
    <n v="1469509200"/>
    <x v="226"/>
    <d v="2016-07-26T05:00:00"/>
    <n v="2"/>
    <b v="0"/>
    <b v="0"/>
    <s v="theater/plays"/>
    <x v="3"/>
    <x v="3"/>
  </r>
  <r>
    <n v="233"/>
    <s v="Reid, Rivera and Perry"/>
    <s v="Multi-lateral national adapter"/>
    <n v="3800"/>
    <n v="6000"/>
    <n v="157.89473684210526"/>
    <x v="1"/>
    <n v="62"/>
    <n v="96.774193548387103"/>
    <x v="1"/>
    <s v="USD"/>
    <n v="1307854800"/>
    <n v="1309237200"/>
    <x v="227"/>
    <d v="2011-06-28T05:00:00"/>
    <n v="17"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n v="149"/>
    <n v="54.906040268456373"/>
    <x v="6"/>
    <s v="EUR"/>
    <n v="1503378000"/>
    <n v="1503982800"/>
    <x v="228"/>
    <d v="2017-08-29T05:00:00"/>
    <n v="8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n v="92"/>
    <n v="39.010869565217391"/>
    <x v="1"/>
    <s v="USD"/>
    <n v="1486965600"/>
    <n v="1487397600"/>
    <x v="229"/>
    <d v="2017-02-18T06:00:00"/>
    <n v="6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n v="57"/>
    <n v="75.84210526315789"/>
    <x v="2"/>
    <s v="AUD"/>
    <n v="1561438800"/>
    <n v="1562043600"/>
    <x v="230"/>
    <d v="2019-07-02T05:00:00"/>
    <n v="8"/>
    <b v="0"/>
    <b v="1"/>
    <s v="music/rock"/>
    <x v="1"/>
    <x v="1"/>
  </r>
  <r>
    <n v="237"/>
    <s v="Ellison PLC"/>
    <s v="Re-contextualized tangible open architecture"/>
    <n v="9300"/>
    <n v="14822"/>
    <n v="159.3763440860215"/>
    <x v="1"/>
    <n v="329"/>
    <n v="45.051671732522799"/>
    <x v="1"/>
    <s v="USD"/>
    <n v="1398402000"/>
    <n v="1398574800"/>
    <x v="231"/>
    <d v="2014-04-27T05:00:00"/>
    <n v="3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n v="97"/>
    <n v="104.51546391752578"/>
    <x v="3"/>
    <s v="DKK"/>
    <n v="1513231200"/>
    <n v="1515391200"/>
    <x v="232"/>
    <d v="2018-01-08T06:00:00"/>
    <n v="26"/>
    <b v="0"/>
    <b v="1"/>
    <s v="theater/plays"/>
    <x v="3"/>
    <x v="3"/>
  </r>
  <r>
    <n v="239"/>
    <s v="Mason-Sanders"/>
    <s v="Networked web-enabled instruction set"/>
    <n v="3200"/>
    <n v="3127"/>
    <n v="97.71875"/>
    <x v="0"/>
    <n v="41"/>
    <n v="76.268292682926827"/>
    <x v="1"/>
    <s v="USD"/>
    <n v="1440824400"/>
    <n v="1441170000"/>
    <x v="233"/>
    <d v="2015-09-02T05:00:00"/>
    <n v="5"/>
    <b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n v="1784"/>
    <n v="69.015695067264573"/>
    <x v="1"/>
    <s v="USD"/>
    <n v="1281070800"/>
    <n v="1281157200"/>
    <x v="194"/>
    <d v="2010-08-07T05:00:00"/>
    <n v="2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n v="1684"/>
    <n v="101.97684085510689"/>
    <x v="2"/>
    <s v="AUD"/>
    <n v="1397365200"/>
    <n v="1398229200"/>
    <x v="234"/>
    <d v="2014-04-23T05:00:00"/>
    <n v="11"/>
    <b v="0"/>
    <b v="1"/>
    <s v="publishing/nonfiction"/>
    <x v="5"/>
    <x v="9"/>
  </r>
  <r>
    <n v="242"/>
    <s v="Hill, Martin and Garcia"/>
    <s v="Sharable scalable core"/>
    <n v="8400"/>
    <n v="10729"/>
    <n v="127.72619047619048"/>
    <x v="1"/>
    <n v="250"/>
    <n v="42.915999999999997"/>
    <x v="1"/>
    <s v="USD"/>
    <n v="1494392400"/>
    <n v="1495256400"/>
    <x v="235"/>
    <d v="2017-05-20T05:00:00"/>
    <n v="11"/>
    <b v="0"/>
    <b v="1"/>
    <s v="music/rock"/>
    <x v="1"/>
    <x v="1"/>
  </r>
  <r>
    <n v="243"/>
    <s v="Garcia PLC"/>
    <s v="Customer-focused attitude-oriented function"/>
    <n v="2300"/>
    <n v="10240"/>
    <n v="445.21739130434781"/>
    <x v="1"/>
    <n v="238"/>
    <n v="43.025210084033617"/>
    <x v="1"/>
    <s v="USD"/>
    <n v="1520143200"/>
    <n v="1520402400"/>
    <x v="236"/>
    <d v="2018-03-07T06:00:00"/>
    <n v="4"/>
    <b v="0"/>
    <b v="0"/>
    <s v="theater/plays"/>
    <x v="3"/>
    <x v="3"/>
  </r>
  <r>
    <n v="244"/>
    <s v="Herring-Bailey"/>
    <s v="Reverse-engineered system-worthy extranet"/>
    <n v="700"/>
    <n v="3988"/>
    <n v="569.71428571428567"/>
    <x v="1"/>
    <n v="53"/>
    <n v="75.245283018867923"/>
    <x v="1"/>
    <s v="USD"/>
    <n v="1405314000"/>
    <n v="1409806800"/>
    <x v="237"/>
    <d v="2014-09-04T05:00:00"/>
    <n v="53"/>
    <b v="0"/>
    <b v="0"/>
    <s v="theater/plays"/>
    <x v="3"/>
    <x v="3"/>
  </r>
  <r>
    <n v="245"/>
    <s v="Russell-Gardner"/>
    <s v="Re-engineered systematic monitoring"/>
    <n v="2900"/>
    <n v="14771"/>
    <n v="509.34482758620692"/>
    <x v="1"/>
    <n v="214"/>
    <n v="69.023364485981304"/>
    <x v="1"/>
    <s v="USD"/>
    <n v="1396846800"/>
    <n v="1396933200"/>
    <x v="238"/>
    <d v="2014-04-08T05:00:00"/>
    <n v="2"/>
    <b v="0"/>
    <b v="0"/>
    <s v="theater/plays"/>
    <x v="3"/>
    <x v="3"/>
  </r>
  <r>
    <n v="246"/>
    <s v="Walters-Carter"/>
    <s v="Seamless value-added standardization"/>
    <n v="4500"/>
    <n v="14649"/>
    <n v="325.53333333333336"/>
    <x v="1"/>
    <n v="222"/>
    <n v="65.986486486486484"/>
    <x v="1"/>
    <s v="USD"/>
    <n v="1375678800"/>
    <n v="1376024400"/>
    <x v="239"/>
    <d v="2013-08-09T05:00:00"/>
    <n v="5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n v="1884"/>
    <n v="98.013800424628457"/>
    <x v="1"/>
    <s v="USD"/>
    <n v="1482386400"/>
    <n v="1483682400"/>
    <x v="240"/>
    <d v="2017-01-06T06:00:00"/>
    <n v="16"/>
    <b v="0"/>
    <b v="1"/>
    <s v="publishing/fiction"/>
    <x v="5"/>
    <x v="13"/>
  </r>
  <r>
    <n v="248"/>
    <s v="Roberts and Sons"/>
    <s v="Streamlined holistic knowledgebase"/>
    <n v="6200"/>
    <n v="13103"/>
    <n v="211.33870967741936"/>
    <x v="1"/>
    <n v="218"/>
    <n v="60.105504587155963"/>
    <x v="2"/>
    <s v="AUD"/>
    <n v="1420005600"/>
    <n v="1420437600"/>
    <x v="241"/>
    <d v="2015-01-05T06:00:00"/>
    <n v="6"/>
    <b v="0"/>
    <b v="0"/>
    <s v="games/mobile games"/>
    <x v="6"/>
    <x v="20"/>
  </r>
  <r>
    <n v="249"/>
    <s v="Avila-Nelson"/>
    <s v="Up-sized intermediate website"/>
    <n v="61500"/>
    <n v="168095"/>
    <n v="273.32520325203251"/>
    <x v="1"/>
    <n v="6465"/>
    <n v="26.000773395204948"/>
    <x v="1"/>
    <s v="USD"/>
    <n v="1420178400"/>
    <n v="1420783200"/>
    <x v="242"/>
    <d v="2015-01-09T06:00:00"/>
    <n v="8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x v="67"/>
    <d v="2010-03-01T06:00:00"/>
    <n v="36"/>
    <b v="0"/>
    <b v="0"/>
    <s v="music/rock"/>
    <x v="1"/>
    <x v="1"/>
  </r>
  <r>
    <n v="251"/>
    <s v="Singleton Ltd"/>
    <s v="Enhanced user-facing function"/>
    <n v="7100"/>
    <n v="3840"/>
    <n v="54.08450704225352"/>
    <x v="0"/>
    <n v="101"/>
    <n v="38.019801980198018"/>
    <x v="1"/>
    <s v="USD"/>
    <n v="1355032800"/>
    <n v="1355205600"/>
    <x v="243"/>
    <d v="2012-12-11T06:00:00"/>
    <n v="3"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n v="59"/>
    <n v="106.15254237288136"/>
    <x v="1"/>
    <s v="USD"/>
    <n v="1382677200"/>
    <n v="1383109200"/>
    <x v="244"/>
    <d v="2013-10-30T05:00:00"/>
    <n v="6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n v="1335"/>
    <n v="81.019475655430711"/>
    <x v="0"/>
    <s v="CAD"/>
    <n v="1302238800"/>
    <n v="1303275600"/>
    <x v="245"/>
    <d v="2011-04-20T05:00:00"/>
    <n v="13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n v="88"/>
    <n v="96.647727272727266"/>
    <x v="1"/>
    <s v="USD"/>
    <n v="1487656800"/>
    <n v="1487829600"/>
    <x v="246"/>
    <d v="2017-02-23T06:00:00"/>
    <n v="3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s v="USD"/>
    <n v="1297836000"/>
    <n v="1298268000"/>
    <x v="247"/>
    <d v="2011-02-21T06:00:00"/>
    <n v="6"/>
    <b v="0"/>
    <b v="1"/>
    <s v="music/rock"/>
    <x v="1"/>
    <x v="1"/>
  </r>
  <r>
    <n v="256"/>
    <s v="Smith-Reid"/>
    <s v="Optimized actuating toolset"/>
    <n v="4100"/>
    <n v="959"/>
    <n v="23.390243902439025"/>
    <x v="0"/>
    <n v="15"/>
    <n v="63.93333333333333"/>
    <x v="4"/>
    <s v="GBP"/>
    <n v="1453615200"/>
    <n v="1456812000"/>
    <x v="248"/>
    <d v="2016-03-01T06:00:00"/>
    <n v="38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56521739130437"/>
    <x v="1"/>
    <s v="USD"/>
    <n v="1362463200"/>
    <n v="1363669200"/>
    <x v="249"/>
    <d v="2013-03-19T05:00:00"/>
    <n v="15"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n v="186"/>
    <n v="72.172043010752688"/>
    <x v="1"/>
    <s v="USD"/>
    <n v="1481176800"/>
    <n v="1482904800"/>
    <x v="250"/>
    <d v="2016-12-28T06:00:00"/>
    <n v="21"/>
    <b v="0"/>
    <b v="1"/>
    <s v="theater/plays"/>
    <x v="3"/>
    <x v="3"/>
  </r>
  <r>
    <n v="259"/>
    <s v="Watkins Ltd"/>
    <s v="Multi-channeled responsive implementation"/>
    <n v="1800"/>
    <n v="10755"/>
    <n v="597.5"/>
    <x v="1"/>
    <n v="138"/>
    <n v="77.934782608695656"/>
    <x v="1"/>
    <s v="USD"/>
    <n v="1354946400"/>
    <n v="1356588000"/>
    <x v="251"/>
    <d v="2012-12-27T06:00:00"/>
    <n v="20"/>
    <b v="1"/>
    <b v="0"/>
    <s v="photography/photography books"/>
    <x v="7"/>
    <x v="14"/>
  </r>
  <r>
    <n v="260"/>
    <s v="Allen-Jones"/>
    <s v="Centralized modular initiative"/>
    <n v="6300"/>
    <n v="9935"/>
    <n v="157.69841269841271"/>
    <x v="1"/>
    <n v="261"/>
    <n v="38.065134099616856"/>
    <x v="1"/>
    <s v="USD"/>
    <n v="1348808400"/>
    <n v="1349845200"/>
    <x v="136"/>
    <d v="2012-10-10T05:00:00"/>
    <n v="13"/>
    <b v="0"/>
    <b v="0"/>
    <s v="music/rock"/>
    <x v="1"/>
    <x v="1"/>
  </r>
  <r>
    <n v="261"/>
    <s v="Mason-Smith"/>
    <s v="Reverse-engineered cohesive migration"/>
    <n v="84300"/>
    <n v="26303"/>
    <n v="31.201660735468565"/>
    <x v="0"/>
    <n v="454"/>
    <n v="57.936123348017624"/>
    <x v="1"/>
    <s v="USD"/>
    <n v="1282712400"/>
    <n v="1283058000"/>
    <x v="252"/>
    <d v="2010-08-29T05:00:00"/>
    <n v="5"/>
    <b v="0"/>
    <b v="1"/>
    <s v="music/rock"/>
    <x v="1"/>
    <x v="1"/>
  </r>
  <r>
    <n v="262"/>
    <s v="Lloyd, Kennedy and Davis"/>
    <s v="Compatible multimedia hub"/>
    <n v="1700"/>
    <n v="5328"/>
    <n v="313.41176470588238"/>
    <x v="1"/>
    <n v="107"/>
    <n v="49.794392523364486"/>
    <x v="1"/>
    <s v="USD"/>
    <n v="1301979600"/>
    <n v="1304226000"/>
    <x v="253"/>
    <d v="2011-05-01T05:00:00"/>
    <n v="27"/>
    <b v="0"/>
    <b v="1"/>
    <s v="music/indie rock"/>
    <x v="1"/>
    <x v="7"/>
  </r>
  <r>
    <n v="263"/>
    <s v="Walker Ltd"/>
    <s v="Organic eco-centric success"/>
    <n v="2900"/>
    <n v="10756"/>
    <n v="370.89655172413791"/>
    <x v="1"/>
    <n v="199"/>
    <n v="54.050251256281406"/>
    <x v="1"/>
    <s v="USD"/>
    <n v="1263016800"/>
    <n v="1263016800"/>
    <x v="254"/>
    <d v="2010-01-09T06:00:00"/>
    <n v="1"/>
    <b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n v="5512"/>
    <n v="30.002721335268504"/>
    <x v="1"/>
    <s v="USD"/>
    <n v="1360648800"/>
    <n v="1362031200"/>
    <x v="255"/>
    <d v="2013-02-28T06:00:00"/>
    <n v="17"/>
    <b v="0"/>
    <b v="0"/>
    <s v="theater/plays"/>
    <x v="3"/>
    <x v="3"/>
  </r>
  <r>
    <n v="265"/>
    <s v="Lee and Sons"/>
    <s v="Persevering interactive emulation"/>
    <n v="4900"/>
    <n v="6031"/>
    <n v="123.08163265306122"/>
    <x v="1"/>
    <n v="86"/>
    <n v="70.127906976744185"/>
    <x v="1"/>
    <s v="USD"/>
    <n v="1451800800"/>
    <n v="1455602400"/>
    <x v="256"/>
    <d v="2016-02-16T06:00:00"/>
    <n v="45"/>
    <b v="0"/>
    <b v="0"/>
    <s v="theater/plays"/>
    <x v="3"/>
    <x v="3"/>
  </r>
  <r>
    <n v="266"/>
    <s v="Cole LLC"/>
    <s v="Proactive responsive emulation"/>
    <n v="111900"/>
    <n v="85902"/>
    <n v="76.766756032171585"/>
    <x v="0"/>
    <n v="3182"/>
    <n v="26.996228786926462"/>
    <x v="6"/>
    <s v="EUR"/>
    <n v="1415340000"/>
    <n v="1418191200"/>
    <x v="257"/>
    <d v="2014-12-10T06:00:00"/>
    <n v="34"/>
    <b v="0"/>
    <b v="1"/>
    <s v="music/jazz"/>
    <x v="1"/>
    <x v="17"/>
  </r>
  <r>
    <n v="267"/>
    <s v="Acosta PLC"/>
    <s v="Extended eco-centric function"/>
    <n v="61600"/>
    <n v="143910"/>
    <n v="233.62012987012986"/>
    <x v="1"/>
    <n v="2768"/>
    <n v="51.990606936416185"/>
    <x v="2"/>
    <s v="AUD"/>
    <n v="1351054800"/>
    <n v="1352440800"/>
    <x v="258"/>
    <d v="2012-11-09T06:00:00"/>
    <n v="17"/>
    <b v="0"/>
    <b v="0"/>
    <s v="theater/plays"/>
    <x v="3"/>
    <x v="3"/>
  </r>
  <r>
    <n v="268"/>
    <s v="Brown-Mckee"/>
    <s v="Networked optimal productivity"/>
    <n v="1500"/>
    <n v="2708"/>
    <n v="180.53333333333333"/>
    <x v="1"/>
    <n v="48"/>
    <n v="56.416666666666664"/>
    <x v="1"/>
    <s v="USD"/>
    <n v="1349326800"/>
    <n v="1353304800"/>
    <x v="259"/>
    <d v="2012-11-19T06:00:00"/>
    <n v="47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n v="87"/>
    <n v="101.63218390804597"/>
    <x v="1"/>
    <s v="USD"/>
    <n v="1548914400"/>
    <n v="1550728800"/>
    <x v="260"/>
    <d v="2019-02-21T06:00:00"/>
    <n v="22"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8"/>
    <x v="3"/>
    <n v="1890"/>
    <n v="25.005291005291006"/>
    <x v="1"/>
    <s v="USD"/>
    <n v="1291269600"/>
    <n v="1291442400"/>
    <x v="261"/>
    <d v="2010-12-04T06:00:00"/>
    <n v="3"/>
    <b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n v="61"/>
    <n v="32.016393442622949"/>
    <x v="1"/>
    <s v="USD"/>
    <n v="1449468000"/>
    <n v="1452146400"/>
    <x v="262"/>
    <d v="2016-01-07T06:00:00"/>
    <n v="32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6"/>
    <x v="1"/>
    <n v="1894"/>
    <n v="82.021647307286173"/>
    <x v="1"/>
    <s v="USD"/>
    <n v="1562734800"/>
    <n v="1564894800"/>
    <x v="263"/>
    <d v="2019-08-04T05:00:00"/>
    <n v="26"/>
    <b v="0"/>
    <b v="1"/>
    <s v="theater/plays"/>
    <x v="3"/>
    <x v="3"/>
  </r>
  <r>
    <n v="273"/>
    <s v="Thomas and Sons"/>
    <s v="Re-engineered heuristic forecast"/>
    <n v="7800"/>
    <n v="10704"/>
    <n v="137.23076923076923"/>
    <x v="1"/>
    <n v="282"/>
    <n v="37.957446808510639"/>
    <x v="0"/>
    <s v="CAD"/>
    <n v="1505624400"/>
    <n v="1505883600"/>
    <x v="264"/>
    <d v="2017-09-20T05:00:00"/>
    <n v="4"/>
    <b v="0"/>
    <b v="0"/>
    <s v="theater/plays"/>
    <x v="3"/>
    <x v="3"/>
  </r>
  <r>
    <n v="274"/>
    <s v="Morgan-Jenkins"/>
    <s v="Fully-configurable background algorithm"/>
    <n v="2400"/>
    <n v="773"/>
    <n v="32.208333333333336"/>
    <x v="0"/>
    <n v="15"/>
    <n v="51.533333333333331"/>
    <x v="1"/>
    <s v="USD"/>
    <n v="1509948000"/>
    <n v="1510380000"/>
    <x v="265"/>
    <d v="2017-11-11T06:00:00"/>
    <n v="6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n v="116"/>
    <n v="81.198275862068968"/>
    <x v="1"/>
    <s v="USD"/>
    <n v="1554526800"/>
    <n v="1555218000"/>
    <x v="266"/>
    <d v="2019-04-14T05:00:00"/>
    <n v="9"/>
    <b v="0"/>
    <b v="0"/>
    <s v="publishing/translations"/>
    <x v="5"/>
    <x v="18"/>
  </r>
  <r>
    <n v="276"/>
    <s v="Fields Ltd"/>
    <s v="Front-line foreground project"/>
    <n v="5500"/>
    <n v="5324"/>
    <n v="96.8"/>
    <x v="0"/>
    <n v="133"/>
    <n v="40.030075187969928"/>
    <x v="1"/>
    <s v="USD"/>
    <n v="1334811600"/>
    <n v="1335243600"/>
    <x v="267"/>
    <d v="2012-04-24T05:00:00"/>
    <n v="6"/>
    <b v="0"/>
    <b v="1"/>
    <s v="games/video games"/>
    <x v="6"/>
    <x v="11"/>
  </r>
  <r>
    <n v="277"/>
    <s v="Ramos-Mitchell"/>
    <s v="Persevering system-worthy info-mediaries"/>
    <n v="700"/>
    <n v="7465"/>
    <n v="1066.4285714285713"/>
    <x v="1"/>
    <n v="83"/>
    <n v="89.939759036144579"/>
    <x v="1"/>
    <s v="USD"/>
    <n v="1279515600"/>
    <n v="1279688400"/>
    <x v="268"/>
    <d v="2010-07-21T05:00:00"/>
    <n v="3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n v="91"/>
    <n v="96.692307692307693"/>
    <x v="1"/>
    <s v="USD"/>
    <n v="1353909600"/>
    <n v="1356069600"/>
    <x v="269"/>
    <d v="2012-12-21T06:00:00"/>
    <n v="26"/>
    <b v="0"/>
    <b v="0"/>
    <s v="technology/web"/>
    <x v="2"/>
    <x v="2"/>
  </r>
  <r>
    <n v="279"/>
    <s v="Smith-Jenkins"/>
    <s v="Vision-oriented methodical application"/>
    <n v="8000"/>
    <n v="13656"/>
    <n v="170.7"/>
    <x v="1"/>
    <n v="546"/>
    <n v="25.010989010989011"/>
    <x v="1"/>
    <s v="USD"/>
    <n v="1535950800"/>
    <n v="1536210000"/>
    <x v="270"/>
    <d v="2018-09-06T05:00:00"/>
    <n v="4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n v="393"/>
    <n v="36.987277353689571"/>
    <x v="1"/>
    <s v="USD"/>
    <n v="1511244000"/>
    <n v="1511762400"/>
    <x v="271"/>
    <d v="2017-11-27T06:00:00"/>
    <n v="7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n v="2062"/>
    <n v="73.012609117361791"/>
    <x v="1"/>
    <s v="USD"/>
    <n v="1331445600"/>
    <n v="1333256400"/>
    <x v="272"/>
    <d v="2012-04-01T05:00:00"/>
    <n v="22"/>
    <b v="0"/>
    <b v="1"/>
    <s v="theater/plays"/>
    <x v="3"/>
    <x v="3"/>
  </r>
  <r>
    <n v="282"/>
    <s v="Ross, Kelly and Brown"/>
    <s v="Virtual contextually-based circuit"/>
    <n v="8400"/>
    <n v="9076"/>
    <n v="108.04761904761905"/>
    <x v="1"/>
    <n v="133"/>
    <n v="68.240601503759393"/>
    <x v="1"/>
    <s v="USD"/>
    <n v="1480226400"/>
    <n v="1480744800"/>
    <x v="73"/>
    <d v="2016-12-03T06:00:00"/>
    <n v="7"/>
    <b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n v="29"/>
    <n v="52.310344827586206"/>
    <x v="3"/>
    <s v="DKK"/>
    <n v="1464584400"/>
    <n v="1465016400"/>
    <x v="273"/>
    <d v="2016-06-04T05:00:00"/>
    <n v="6"/>
    <b v="0"/>
    <b v="0"/>
    <s v="music/rock"/>
    <x v="1"/>
    <x v="1"/>
  </r>
  <r>
    <n v="284"/>
    <s v="Tran LLC"/>
    <s v="Ameliorated fresh-thinking protocol"/>
    <n v="9800"/>
    <n v="8153"/>
    <n v="83.193877551020407"/>
    <x v="0"/>
    <n v="132"/>
    <n v="61.765151515151516"/>
    <x v="1"/>
    <s v="USD"/>
    <n v="1335848400"/>
    <n v="1336280400"/>
    <x v="274"/>
    <d v="2012-05-06T05:00:00"/>
    <n v="6"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n v="254"/>
    <n v="25.027559055118111"/>
    <x v="1"/>
    <s v="USD"/>
    <n v="1473483600"/>
    <n v="1476766800"/>
    <x v="275"/>
    <d v="2016-10-18T05:00:00"/>
    <n v="39"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n v="184"/>
    <n v="106.28804347826087"/>
    <x v="1"/>
    <s v="USD"/>
    <n v="1479880800"/>
    <n v="1480485600"/>
    <x v="276"/>
    <d v="2016-11-30T06:00:00"/>
    <n v="8"/>
    <b v="0"/>
    <b v="0"/>
    <s v="theater/plays"/>
    <x v="3"/>
    <x v="3"/>
  </r>
  <r>
    <n v="287"/>
    <s v="Ferguson PLC"/>
    <s v="Public-key intangible superstructure"/>
    <n v="6300"/>
    <n v="13213"/>
    <n v="209.73015873015873"/>
    <x v="1"/>
    <n v="176"/>
    <n v="75.07386363636364"/>
    <x v="1"/>
    <s v="USD"/>
    <n v="1430197200"/>
    <n v="1430197200"/>
    <x v="277"/>
    <d v="2015-04-28T05:00:00"/>
    <n v="1"/>
    <b v="0"/>
    <b v="0"/>
    <s v="music/electric music"/>
    <x v="1"/>
    <x v="5"/>
  </r>
  <r>
    <n v="288"/>
    <s v="Garcia Ltd"/>
    <s v="Secured global success"/>
    <n v="5600"/>
    <n v="5476"/>
    <n v="97.785714285714292"/>
    <x v="0"/>
    <n v="137"/>
    <n v="39.970802919708028"/>
    <x v="3"/>
    <s v="DKK"/>
    <n v="1331701200"/>
    <n v="1331787600"/>
    <x v="278"/>
    <d v="2012-03-15T05:00:00"/>
    <n v="2"/>
    <b v="0"/>
    <b v="1"/>
    <s v="music/metal"/>
    <x v="1"/>
    <x v="16"/>
  </r>
  <r>
    <n v="289"/>
    <s v="Smith, Love and Smith"/>
    <s v="Grass-roots mission-critical capability"/>
    <n v="800"/>
    <n v="13474"/>
    <n v="1684.25"/>
    <x v="1"/>
    <n v="337"/>
    <n v="39.982195845697326"/>
    <x v="0"/>
    <s v="CAD"/>
    <n v="1438578000"/>
    <n v="1438837200"/>
    <x v="279"/>
    <d v="2015-08-06T05:00:00"/>
    <n v="4"/>
    <b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n v="908"/>
    <n v="101.01541850220265"/>
    <x v="1"/>
    <s v="USD"/>
    <n v="1368162000"/>
    <n v="1370926800"/>
    <x v="280"/>
    <d v="2013-06-11T05:00:00"/>
    <n v="33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n v="107"/>
    <n v="76.813084112149539"/>
    <x v="1"/>
    <s v="USD"/>
    <n v="1318654800"/>
    <n v="1319000400"/>
    <x v="281"/>
    <d v="2011-10-19T05:00:00"/>
    <n v="5"/>
    <b v="1"/>
    <b v="0"/>
    <s v="technology/web"/>
    <x v="2"/>
    <x v="2"/>
  </r>
  <r>
    <n v="292"/>
    <s v="Ho-Harris"/>
    <s v="Versatile cohesive encoding"/>
    <n v="7300"/>
    <n v="717"/>
    <n v="9.8219178082191778"/>
    <x v="0"/>
    <n v="10"/>
    <n v="71.7"/>
    <x v="1"/>
    <s v="USD"/>
    <n v="1331874000"/>
    <n v="1333429200"/>
    <x v="282"/>
    <d v="2012-04-03T05:00:00"/>
    <n v="19"/>
    <b v="0"/>
    <b v="0"/>
    <s v="food/food trucks"/>
    <x v="0"/>
    <x v="0"/>
  </r>
  <r>
    <n v="293"/>
    <s v="Ross Group"/>
    <s v="Organized executive solution"/>
    <n v="6500"/>
    <n v="1065"/>
    <n v="16.384615384615383"/>
    <x v="3"/>
    <n v="32"/>
    <n v="33.28125"/>
    <x v="6"/>
    <s v="EUR"/>
    <n v="1286254800"/>
    <n v="1287032400"/>
    <x v="283"/>
    <d v="2010-10-14T05:00:00"/>
    <n v="10"/>
    <b v="0"/>
    <b v="0"/>
    <s v="theater/plays"/>
    <x v="3"/>
    <x v="3"/>
  </r>
  <r>
    <n v="294"/>
    <s v="Turner-Davis"/>
    <s v="Automated local emulation"/>
    <n v="600"/>
    <n v="8038"/>
    <n v="1339.6666666666667"/>
    <x v="1"/>
    <n v="183"/>
    <n v="43.923497267759565"/>
    <x v="1"/>
    <s v="USD"/>
    <n v="1540530000"/>
    <n v="1541570400"/>
    <x v="284"/>
    <d v="2018-11-07T06:00:00"/>
    <n v="13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n v="1910"/>
    <n v="36.004712041884815"/>
    <x v="5"/>
    <s v="CHF"/>
    <n v="1381813200"/>
    <n v="1383976800"/>
    <x v="285"/>
    <d v="2013-11-09T06:00:00"/>
    <n v="26"/>
    <b v="0"/>
    <b v="0"/>
    <s v="theater/plays"/>
    <x v="3"/>
    <x v="3"/>
  </r>
  <r>
    <n v="296"/>
    <s v="Smith-Hess"/>
    <s v="Grass-roots real-time Local Area Network"/>
    <n v="6100"/>
    <n v="3352"/>
    <n v="54.950819672131146"/>
    <x v="0"/>
    <n v="38"/>
    <n v="88.21052631578948"/>
    <x v="2"/>
    <s v="AUD"/>
    <n v="1548655200"/>
    <n v="1550556000"/>
    <x v="286"/>
    <d v="2019-02-19T06:00:00"/>
    <n v="23"/>
    <b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n v="104"/>
    <n v="65.240384615384613"/>
    <x v="2"/>
    <s v="AUD"/>
    <n v="1389679200"/>
    <n v="1390456800"/>
    <x v="287"/>
    <d v="2014-01-23T06:00:00"/>
    <n v="10"/>
    <b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n v="72"/>
    <n v="69.958333333333329"/>
    <x v="1"/>
    <s v="USD"/>
    <n v="1456466400"/>
    <n v="1458018000"/>
    <x v="288"/>
    <d v="2016-03-15T05:00:00"/>
    <n v="19"/>
    <b v="0"/>
    <b v="1"/>
    <s v="music/rock"/>
    <x v="1"/>
    <x v="1"/>
  </r>
  <r>
    <n v="299"/>
    <s v="Ramsey and Sons"/>
    <s v="Grass-roots contextually-based algorithm"/>
    <n v="3800"/>
    <n v="1954"/>
    <n v="51.421052631578945"/>
    <x v="0"/>
    <n v="49"/>
    <n v="39.877551020408163"/>
    <x v="1"/>
    <s v="USD"/>
    <n v="1456984800"/>
    <n v="1461819600"/>
    <x v="289"/>
    <d v="2016-04-28T05:00:00"/>
    <n v="57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n v="1504155600"/>
    <x v="290"/>
    <d v="2017-08-31T05:00:00"/>
    <n v="2"/>
    <b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n v="295"/>
    <n v="41.023728813559323"/>
    <x v="1"/>
    <s v="USD"/>
    <n v="1424930400"/>
    <n v="1426395600"/>
    <x v="291"/>
    <d v="2015-03-15T05:00:00"/>
    <n v="18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5"/>
    <x v="0"/>
    <n v="245"/>
    <n v="98.914285714285711"/>
    <x v="1"/>
    <s v="USD"/>
    <n v="1535864400"/>
    <n v="1537074000"/>
    <x v="292"/>
    <d v="2018-09-16T05:00:00"/>
    <n v="15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n v="32"/>
    <n v="87.78125"/>
    <x v="1"/>
    <s v="USD"/>
    <n v="1452146400"/>
    <n v="1452578400"/>
    <x v="293"/>
    <d v="2016-01-12T06:00:00"/>
    <n v="6"/>
    <b v="0"/>
    <b v="0"/>
    <s v="music/indie rock"/>
    <x v="1"/>
    <x v="7"/>
  </r>
  <r>
    <n v="304"/>
    <s v="Peterson PLC"/>
    <s v="User-friendly discrete benchmark"/>
    <n v="2100"/>
    <n v="11469"/>
    <n v="546.14285714285711"/>
    <x v="1"/>
    <n v="142"/>
    <n v="80.767605633802816"/>
    <x v="1"/>
    <s v="USD"/>
    <n v="1470546000"/>
    <n v="1474088400"/>
    <x v="294"/>
    <d v="2016-09-17T05:00:00"/>
    <n v="42"/>
    <b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n v="85"/>
    <n v="94.28235294117647"/>
    <x v="1"/>
    <s v="USD"/>
    <n v="1458363600"/>
    <n v="1461906000"/>
    <x v="295"/>
    <d v="2016-04-29T05:00:00"/>
    <n v="42"/>
    <b v="0"/>
    <b v="0"/>
    <s v="theater/plays"/>
    <x v="3"/>
    <x v="3"/>
  </r>
  <r>
    <n v="306"/>
    <s v="Rush, Reed and Hall"/>
    <s v="Enterprise-wide 3rdgeneration knowledge user"/>
    <n v="6500"/>
    <n v="514"/>
    <n v="7.907692307692308"/>
    <x v="0"/>
    <n v="7"/>
    <n v="73.428571428571431"/>
    <x v="1"/>
    <s v="USD"/>
    <n v="1500008400"/>
    <n v="1500267600"/>
    <x v="296"/>
    <d v="2017-07-17T05:00:00"/>
    <n v="4"/>
    <b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n v="659"/>
    <n v="65.968133535660087"/>
    <x v="3"/>
    <s v="DKK"/>
    <n v="1338958800"/>
    <n v="1340686800"/>
    <x v="297"/>
    <d v="2012-06-26T05:00:00"/>
    <n v="21"/>
    <b v="0"/>
    <b v="1"/>
    <s v="publishing/fiction"/>
    <x v="5"/>
    <x v="13"/>
  </r>
  <r>
    <n v="308"/>
    <s v="Davis Ltd"/>
    <s v="Grass-roots optimizing projection"/>
    <n v="118200"/>
    <n v="87560"/>
    <n v="74.077834179357026"/>
    <x v="0"/>
    <n v="803"/>
    <n v="109.04109589041096"/>
    <x v="1"/>
    <s v="USD"/>
    <n v="1303102800"/>
    <n v="1303189200"/>
    <x v="298"/>
    <d v="2011-04-19T05:00:00"/>
    <n v="2"/>
    <b v="0"/>
    <b v="0"/>
    <s v="theater/plays"/>
    <x v="3"/>
    <x v="3"/>
  </r>
  <r>
    <n v="309"/>
    <s v="Harris-Perry"/>
    <s v="User-centric 6thgeneration attitude"/>
    <n v="4100"/>
    <n v="3087"/>
    <n v="75.292682926829272"/>
    <x v="3"/>
    <n v="75"/>
    <n v="41.16"/>
    <x v="1"/>
    <s v="USD"/>
    <n v="1316581200"/>
    <n v="1318309200"/>
    <x v="299"/>
    <d v="2011-10-11T05:00:00"/>
    <n v="21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n v="16"/>
    <n v="99.125"/>
    <x v="1"/>
    <s v="USD"/>
    <n v="1270789200"/>
    <n v="1272171600"/>
    <x v="300"/>
    <d v="2010-04-25T05:00:00"/>
    <n v="17"/>
    <b v="0"/>
    <b v="0"/>
    <s v="games/video games"/>
    <x v="6"/>
    <x v="11"/>
  </r>
  <r>
    <n v="311"/>
    <s v="Flores PLC"/>
    <s v="Focused real-time help-desk"/>
    <n v="6300"/>
    <n v="12812"/>
    <n v="203.36507936507937"/>
    <x v="1"/>
    <n v="121"/>
    <n v="105.88429752066116"/>
    <x v="1"/>
    <s v="USD"/>
    <n v="1297836000"/>
    <n v="1298872800"/>
    <x v="247"/>
    <d v="2011-02-28T06:00:00"/>
    <n v="13"/>
    <b v="0"/>
    <b v="0"/>
    <s v="theater/plays"/>
    <x v="3"/>
    <x v="3"/>
  </r>
  <r>
    <n v="312"/>
    <s v="Martinez LLC"/>
    <s v="Robust impactful approach"/>
    <n v="59100"/>
    <n v="183345"/>
    <n v="310.2284263959391"/>
    <x v="1"/>
    <n v="3742"/>
    <n v="48.996525921966864"/>
    <x v="1"/>
    <s v="USD"/>
    <n v="1382677200"/>
    <n v="1383282000"/>
    <x v="244"/>
    <d v="2013-11-01T05:00:00"/>
    <n v="8"/>
    <b v="0"/>
    <b v="0"/>
    <s v="theater/plays"/>
    <x v="3"/>
    <x v="3"/>
  </r>
  <r>
    <n v="313"/>
    <s v="Miller-Irwin"/>
    <s v="Secured maximized policy"/>
    <n v="2200"/>
    <n v="8697"/>
    <n v="395.31818181818181"/>
    <x v="1"/>
    <n v="223"/>
    <n v="39"/>
    <x v="1"/>
    <s v="USD"/>
    <n v="1330322400"/>
    <n v="1330495200"/>
    <x v="301"/>
    <d v="2012-02-29T06:00:00"/>
    <n v="3"/>
    <b v="0"/>
    <b v="0"/>
    <s v="music/rock"/>
    <x v="1"/>
    <x v="1"/>
  </r>
  <r>
    <n v="314"/>
    <s v="Sanchez-Morgan"/>
    <s v="Realigned upward-trending strategy"/>
    <n v="1400"/>
    <n v="4126"/>
    <n v="294.71428571428572"/>
    <x v="1"/>
    <n v="133"/>
    <n v="31.022556390977442"/>
    <x v="1"/>
    <s v="USD"/>
    <n v="1552366800"/>
    <n v="1552798800"/>
    <x v="188"/>
    <d v="2019-03-17T05:00:00"/>
    <n v="6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n v="31"/>
    <n v="103.87096774193549"/>
    <x v="1"/>
    <s v="USD"/>
    <n v="1400907600"/>
    <n v="1403413200"/>
    <x v="302"/>
    <d v="2014-06-22T05:00:00"/>
    <n v="30"/>
    <b v="0"/>
    <b v="0"/>
    <s v="theater/plays"/>
    <x v="3"/>
    <x v="3"/>
  </r>
  <r>
    <n v="316"/>
    <s v="Martin-Marshall"/>
    <s v="Configurable demand-driven matrix"/>
    <n v="9600"/>
    <n v="6401"/>
    <n v="66.677083333333329"/>
    <x v="0"/>
    <n v="108"/>
    <n v="59.268518518518519"/>
    <x v="6"/>
    <s v="EUR"/>
    <n v="1574143200"/>
    <n v="1574229600"/>
    <x v="303"/>
    <d v="2019-11-20T06:00:00"/>
    <n v="2"/>
    <b v="0"/>
    <b v="1"/>
    <s v="food/food trucks"/>
    <x v="0"/>
    <x v="0"/>
  </r>
  <r>
    <n v="317"/>
    <s v="Summers PLC"/>
    <s v="Cross-group coherent hierarchy"/>
    <n v="6600"/>
    <n v="1269"/>
    <n v="19.227272727272727"/>
    <x v="0"/>
    <n v="30"/>
    <n v="42.3"/>
    <x v="1"/>
    <s v="USD"/>
    <n v="1494738000"/>
    <n v="1495861200"/>
    <x v="304"/>
    <d v="2017-05-27T05:00:00"/>
    <n v="14"/>
    <b v="0"/>
    <b v="0"/>
    <s v="theater/plays"/>
    <x v="3"/>
    <x v="3"/>
  </r>
  <r>
    <n v="318"/>
    <s v="Young, Hart and Ryan"/>
    <s v="Decentralized demand-driven open system"/>
    <n v="5700"/>
    <n v="903"/>
    <n v="15.842105263157896"/>
    <x v="0"/>
    <n v="17"/>
    <n v="53.117647058823529"/>
    <x v="1"/>
    <s v="USD"/>
    <n v="1392357600"/>
    <n v="1392530400"/>
    <x v="305"/>
    <d v="2014-02-16T06:00:00"/>
    <n v="3"/>
    <b v="0"/>
    <b v="0"/>
    <s v="music/rock"/>
    <x v="1"/>
    <x v="1"/>
  </r>
  <r>
    <n v="319"/>
    <s v="Mills Group"/>
    <s v="Advanced empowering matrix"/>
    <n v="8400"/>
    <n v="3251"/>
    <n v="38.702380952380949"/>
    <x v="3"/>
    <n v="64"/>
    <n v="50.796875"/>
    <x v="1"/>
    <s v="USD"/>
    <n v="1281589200"/>
    <n v="1283662800"/>
    <x v="306"/>
    <d v="2010-09-05T05:00:00"/>
    <n v="25"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n v="80"/>
    <n v="101.15"/>
    <x v="1"/>
    <s v="USD"/>
    <n v="1305003600"/>
    <n v="1305781200"/>
    <x v="307"/>
    <d v="2011-05-19T05:00:00"/>
    <n v="10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103"/>
    <x v="0"/>
    <n v="2468"/>
    <n v="65.000810372771468"/>
    <x v="1"/>
    <s v="USD"/>
    <n v="1301634000"/>
    <n v="1302325200"/>
    <x v="308"/>
    <d v="2011-04-09T05:00:00"/>
    <n v="9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1"/>
    <x v="1"/>
    <n v="5168"/>
    <n v="37.998645510835914"/>
    <x v="1"/>
    <s v="USD"/>
    <n v="1290664800"/>
    <n v="1291788000"/>
    <x v="309"/>
    <d v="2010-12-08T06:00:00"/>
    <n v="14"/>
    <b v="0"/>
    <b v="0"/>
    <s v="theater/plays"/>
    <x v="3"/>
    <x v="3"/>
  </r>
  <r>
    <n v="323"/>
    <s v="Cole, Smith and Wood"/>
    <s v="Integrated zero-defect help-desk"/>
    <n v="8900"/>
    <n v="2148"/>
    <n v="24.134831460674157"/>
    <x v="0"/>
    <n v="26"/>
    <n v="82.615384615384613"/>
    <x v="4"/>
    <s v="GBP"/>
    <n v="1395896400"/>
    <n v="1396069200"/>
    <x v="310"/>
    <d v="2014-03-29T05:00:00"/>
    <n v="3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n v="307"/>
    <n v="37.941368078175898"/>
    <x v="1"/>
    <s v="USD"/>
    <n v="1434862800"/>
    <n v="1435899600"/>
    <x v="311"/>
    <d v="2015-07-03T05:00:00"/>
    <n v="13"/>
    <b v="0"/>
    <b v="1"/>
    <s v="theater/plays"/>
    <x v="3"/>
    <x v="3"/>
  </r>
  <r>
    <n v="325"/>
    <s v="Saunders Group"/>
    <s v="Programmable systemic implementation"/>
    <n v="6500"/>
    <n v="5897"/>
    <n v="90.723076923076917"/>
    <x v="0"/>
    <n v="73"/>
    <n v="80.780821917808225"/>
    <x v="1"/>
    <s v="USD"/>
    <n v="1529125200"/>
    <n v="1531112400"/>
    <x v="79"/>
    <d v="2018-07-09T05:00:00"/>
    <n v="24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n v="128"/>
    <n v="25.984375"/>
    <x v="1"/>
    <s v="USD"/>
    <n v="1451109600"/>
    <n v="1451628000"/>
    <x v="312"/>
    <d v="2016-01-01T06:00:00"/>
    <n v="7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n v="33"/>
    <n v="30.363636363636363"/>
    <x v="1"/>
    <s v="USD"/>
    <n v="1566968400"/>
    <n v="1567314000"/>
    <x v="313"/>
    <d v="2019-09-01T05:00:00"/>
    <n v="5"/>
    <b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n v="2441"/>
    <n v="54.004916018025398"/>
    <x v="1"/>
    <s v="USD"/>
    <n v="1543557600"/>
    <n v="1544508000"/>
    <x v="314"/>
    <d v="2018-12-11T06:00:00"/>
    <n v="12"/>
    <b v="0"/>
    <b v="0"/>
    <s v="music/rock"/>
    <x v="1"/>
    <x v="1"/>
  </r>
  <r>
    <n v="329"/>
    <s v="Willis and Sons"/>
    <s v="Fundamental incremental database"/>
    <n v="93800"/>
    <n v="21477"/>
    <n v="22.896588486140725"/>
    <x v="2"/>
    <n v="211"/>
    <n v="101.78672985781991"/>
    <x v="1"/>
    <s v="USD"/>
    <n v="1481522400"/>
    <n v="1482472800"/>
    <x v="315"/>
    <d v="2016-12-23T06:00:00"/>
    <n v="12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n v="1385"/>
    <n v="45.003610108303249"/>
    <x v="4"/>
    <s v="GBP"/>
    <n v="1512712800"/>
    <n v="1512799200"/>
    <x v="316"/>
    <d v="2017-12-09T06:00:00"/>
    <n v="2"/>
    <b v="0"/>
    <b v="0"/>
    <s v="film &amp; video/documentary"/>
    <x v="4"/>
    <x v="4"/>
  </r>
  <r>
    <n v="331"/>
    <s v="Rose-Silva"/>
    <s v="Intuitive static portal"/>
    <n v="3300"/>
    <n v="14643"/>
    <n v="443.72727272727275"/>
    <x v="1"/>
    <n v="190"/>
    <n v="77.068421052631578"/>
    <x v="1"/>
    <s v="USD"/>
    <n v="1324274400"/>
    <n v="1324360800"/>
    <x v="317"/>
    <d v="2011-12-20T06:00:00"/>
    <n v="2"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43"/>
    <x v="1"/>
    <n v="470"/>
    <n v="88.076595744680844"/>
    <x v="1"/>
    <s v="USD"/>
    <n v="1364446800"/>
    <n v="1364533200"/>
    <x v="318"/>
    <d v="2013-03-29T05:00:00"/>
    <n v="2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n v="253"/>
    <n v="47.035573122529641"/>
    <x v="1"/>
    <s v="USD"/>
    <n v="1542693600"/>
    <n v="1545112800"/>
    <x v="319"/>
    <d v="2018-12-18T06:00:00"/>
    <n v="29"/>
    <b v="0"/>
    <b v="0"/>
    <s v="theater/plays"/>
    <x v="3"/>
    <x v="3"/>
  </r>
  <r>
    <n v="334"/>
    <s v="Mcgee Group"/>
    <s v="Assimilated discrete algorithm"/>
    <n v="66200"/>
    <n v="123538"/>
    <n v="186.61329305135951"/>
    <x v="1"/>
    <n v="1113"/>
    <n v="110.99550763701707"/>
    <x v="1"/>
    <s v="USD"/>
    <n v="1515564000"/>
    <n v="1516168800"/>
    <x v="32"/>
    <d v="2018-01-17T06:00:00"/>
    <n v="8"/>
    <b v="0"/>
    <b v="0"/>
    <s v="music/rock"/>
    <x v="1"/>
    <x v="1"/>
  </r>
  <r>
    <n v="335"/>
    <s v="Jordan-Acosta"/>
    <s v="Operative uniform hub"/>
    <n v="173800"/>
    <n v="198628"/>
    <n v="114.28538550057537"/>
    <x v="1"/>
    <n v="2283"/>
    <n v="87.003066141042481"/>
    <x v="1"/>
    <s v="USD"/>
    <n v="1573797600"/>
    <n v="1574920800"/>
    <x v="320"/>
    <d v="2019-11-28T06:00:00"/>
    <n v="14"/>
    <b v="0"/>
    <b v="0"/>
    <s v="music/rock"/>
    <x v="1"/>
    <x v="1"/>
  </r>
  <r>
    <n v="336"/>
    <s v="Nunez Inc"/>
    <s v="Customizable intangible capability"/>
    <n v="70700"/>
    <n v="68602"/>
    <n v="97.032531824611027"/>
    <x v="0"/>
    <n v="1072"/>
    <n v="63.994402985074629"/>
    <x v="1"/>
    <s v="USD"/>
    <n v="1292392800"/>
    <n v="1292479200"/>
    <x v="321"/>
    <d v="2010-12-16T06:00:00"/>
    <n v="2"/>
    <b v="0"/>
    <b v="1"/>
    <s v="music/rock"/>
    <x v="1"/>
    <x v="1"/>
  </r>
  <r>
    <n v="337"/>
    <s v="Hayden Ltd"/>
    <s v="Innovative didactic analyzer"/>
    <n v="94500"/>
    <n v="116064"/>
    <n v="122.81904761904762"/>
    <x v="1"/>
    <n v="1095"/>
    <n v="105.9945205479452"/>
    <x v="1"/>
    <s v="USD"/>
    <n v="1573452000"/>
    <n v="1573538400"/>
    <x v="322"/>
    <d v="2019-11-12T06:00:00"/>
    <n v="2"/>
    <b v="0"/>
    <b v="0"/>
    <s v="theater/plays"/>
    <x v="3"/>
    <x v="3"/>
  </r>
  <r>
    <n v="338"/>
    <s v="Gonzalez-Burton"/>
    <s v="Decentralized intangible encoding"/>
    <n v="69800"/>
    <n v="125042"/>
    <n v="179.14326647564471"/>
    <x v="1"/>
    <n v="1690"/>
    <n v="73.989349112426041"/>
    <x v="1"/>
    <s v="USD"/>
    <n v="1317790800"/>
    <n v="1320382800"/>
    <x v="323"/>
    <d v="2011-11-04T05:00:00"/>
    <n v="31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n v="1297"/>
    <n v="84.02004626060139"/>
    <x v="0"/>
    <s v="CAD"/>
    <n v="1501650000"/>
    <n v="1502859600"/>
    <x v="324"/>
    <d v="2017-08-16T05:00:00"/>
    <n v="15"/>
    <b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n v="393"/>
    <n v="88.966921119592882"/>
    <x v="1"/>
    <s v="USD"/>
    <n v="1323669600"/>
    <n v="1323756000"/>
    <x v="325"/>
    <d v="2011-12-13T06:00:00"/>
    <n v="2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n v="1257"/>
    <n v="76.990453460620529"/>
    <x v="1"/>
    <s v="USD"/>
    <n v="1440738000"/>
    <n v="1441342800"/>
    <x v="326"/>
    <d v="2015-09-04T05:00:00"/>
    <n v="8"/>
    <b v="0"/>
    <b v="0"/>
    <s v="music/indie rock"/>
    <x v="1"/>
    <x v="7"/>
  </r>
  <r>
    <n v="342"/>
    <s v="Gibson-Hernandez"/>
    <s v="Visionary foreground middleware"/>
    <n v="47900"/>
    <n v="31864"/>
    <n v="66.521920668058456"/>
    <x v="0"/>
    <n v="328"/>
    <n v="97.146341463414629"/>
    <x v="1"/>
    <s v="USD"/>
    <n v="1374296400"/>
    <n v="1375333200"/>
    <x v="327"/>
    <d v="2013-08-01T05:00:00"/>
    <n v="13"/>
    <b v="0"/>
    <b v="0"/>
    <s v="theater/plays"/>
    <x v="3"/>
    <x v="3"/>
  </r>
  <r>
    <n v="343"/>
    <s v="Spencer-Weber"/>
    <s v="Optional zero-defect task-force"/>
    <n v="9000"/>
    <n v="4853"/>
    <n v="53.922222222222224"/>
    <x v="0"/>
    <n v="147"/>
    <n v="33.013605442176868"/>
    <x v="1"/>
    <s v="USD"/>
    <n v="1384840800"/>
    <n v="1389420000"/>
    <x v="328"/>
    <d v="2014-01-11T06:00:00"/>
    <n v="54"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n v="830"/>
    <n v="99.950602409638549"/>
    <x v="1"/>
    <s v="USD"/>
    <n v="1516600800"/>
    <n v="1520056800"/>
    <x v="329"/>
    <d v="2018-03-03T06:00:00"/>
    <n v="41"/>
    <b v="0"/>
    <b v="0"/>
    <s v="games/video games"/>
    <x v="6"/>
    <x v="11"/>
  </r>
  <r>
    <n v="345"/>
    <s v="Taylor, Cisneros and Romero"/>
    <s v="Open-source neutral task-force"/>
    <n v="157600"/>
    <n v="23159"/>
    <n v="14.694796954314722"/>
    <x v="0"/>
    <n v="331"/>
    <n v="69.966767371601208"/>
    <x v="4"/>
    <s v="GBP"/>
    <n v="1436418000"/>
    <n v="1436504400"/>
    <x v="330"/>
    <d v="2015-07-10T05:00:00"/>
    <n v="2"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n v="25"/>
    <n v="110.32"/>
    <x v="1"/>
    <s v="USD"/>
    <n v="1503550800"/>
    <n v="1508302800"/>
    <x v="331"/>
    <d v="2017-10-18T05:00:00"/>
    <n v="56"/>
    <b v="0"/>
    <b v="1"/>
    <s v="music/indie rock"/>
    <x v="1"/>
    <x v="7"/>
  </r>
  <r>
    <n v="347"/>
    <s v="Petersen and Sons"/>
    <s v="Open-source full-range portal"/>
    <n v="900"/>
    <n v="12607"/>
    <n v="1400.7777777777778"/>
    <x v="1"/>
    <n v="191"/>
    <n v="66.005235602094245"/>
    <x v="1"/>
    <s v="USD"/>
    <n v="1423634400"/>
    <n v="1425708000"/>
    <x v="332"/>
    <d v="2015-03-07T06:00:00"/>
    <n v="25"/>
    <b v="0"/>
    <b v="0"/>
    <s v="technology/web"/>
    <x v="2"/>
    <x v="2"/>
  </r>
  <r>
    <n v="348"/>
    <s v="Hensley Ltd"/>
    <s v="Versatile cohesive open system"/>
    <n v="199000"/>
    <n v="142823"/>
    <n v="71.770351758793964"/>
    <x v="0"/>
    <n v="3483"/>
    <n v="41.005742176284812"/>
    <x v="1"/>
    <s v="USD"/>
    <n v="1487224800"/>
    <n v="1488348000"/>
    <x v="333"/>
    <d v="2017-03-01T06:00:00"/>
    <n v="14"/>
    <b v="0"/>
    <b v="0"/>
    <s v="food/food trucks"/>
    <x v="0"/>
    <x v="0"/>
  </r>
  <r>
    <n v="349"/>
    <s v="Navarro and Sons"/>
    <s v="Multi-layered bottom-line frame"/>
    <n v="180800"/>
    <n v="95958"/>
    <n v="53.07411504424779"/>
    <x v="0"/>
    <n v="923"/>
    <n v="103.96316359696641"/>
    <x v="1"/>
    <s v="USD"/>
    <n v="1500008400"/>
    <n v="1502600400"/>
    <x v="296"/>
    <d v="2017-08-13T05:00:00"/>
    <n v="31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n v="1433653200"/>
    <x v="334"/>
    <d v="2015-06-07T05:00:00"/>
    <n v="19"/>
    <b v="0"/>
    <b v="1"/>
    <s v="music/jazz"/>
    <x v="1"/>
    <x v="17"/>
  </r>
  <r>
    <n v="351"/>
    <s v="Young LLC"/>
    <s v="Universal maximized methodology"/>
    <n v="74100"/>
    <n v="94631"/>
    <n v="127.70715249662618"/>
    <x v="1"/>
    <n v="2013"/>
    <n v="47.009935419771487"/>
    <x v="1"/>
    <s v="USD"/>
    <n v="1440392400"/>
    <n v="1441602000"/>
    <x v="335"/>
    <d v="2015-09-07T05:00:00"/>
    <n v="15"/>
    <b v="0"/>
    <b v="0"/>
    <s v="music/rock"/>
    <x v="1"/>
    <x v="1"/>
  </r>
  <r>
    <n v="352"/>
    <s v="Adams, Willis and Sanchez"/>
    <s v="Expanded hybrid hardware"/>
    <n v="2800"/>
    <n v="977"/>
    <n v="34.892857142857146"/>
    <x v="0"/>
    <n v="33"/>
    <n v="29.606060606060606"/>
    <x v="0"/>
    <s v="CAD"/>
    <n v="1446876000"/>
    <n v="1447567200"/>
    <x v="336"/>
    <d v="2015-11-15T06:00:00"/>
    <n v="9"/>
    <b v="0"/>
    <b v="0"/>
    <s v="theater/plays"/>
    <x v="3"/>
    <x v="3"/>
  </r>
  <r>
    <n v="353"/>
    <s v="Mills-Roy"/>
    <s v="Profit-focused multi-tasking access"/>
    <n v="33600"/>
    <n v="137961"/>
    <n v="410.59821428571428"/>
    <x v="1"/>
    <n v="1703"/>
    <n v="81.010569583088667"/>
    <x v="1"/>
    <s v="USD"/>
    <n v="1562302800"/>
    <n v="1562389200"/>
    <x v="337"/>
    <d v="2019-07-06T05:00:00"/>
    <n v="2"/>
    <b v="0"/>
    <b v="0"/>
    <s v="theater/plays"/>
    <x v="3"/>
    <x v="3"/>
  </r>
  <r>
    <n v="354"/>
    <s v="Brown Group"/>
    <s v="Profit-focused transitional capability"/>
    <n v="6100"/>
    <n v="7548"/>
    <n v="123.73770491803279"/>
    <x v="1"/>
    <n v="80"/>
    <n v="94.35"/>
    <x v="3"/>
    <s v="DKK"/>
    <n v="1378184400"/>
    <n v="1378789200"/>
    <x v="338"/>
    <d v="2013-09-10T05:00:00"/>
    <n v="8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n v="86"/>
    <n v="26.058139534883722"/>
    <x v="1"/>
    <s v="USD"/>
    <n v="1485064800"/>
    <n v="1488520800"/>
    <x v="339"/>
    <d v="2017-03-03T06:00:00"/>
    <n v="41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n v="40"/>
    <n v="85.775000000000006"/>
    <x v="6"/>
    <s v="EUR"/>
    <n v="1326520800"/>
    <n v="1327298400"/>
    <x v="340"/>
    <d v="2012-01-23T06:00:00"/>
    <n v="10"/>
    <b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n v="41"/>
    <n v="103.73170731707317"/>
    <x v="1"/>
    <s v="USD"/>
    <n v="1441256400"/>
    <n v="1443416400"/>
    <x v="341"/>
    <d v="2015-09-28T05:00:00"/>
    <n v="26"/>
    <b v="0"/>
    <b v="0"/>
    <s v="games/video games"/>
    <x v="6"/>
    <x v="11"/>
  </r>
  <r>
    <n v="358"/>
    <s v="Diaz-Garcia"/>
    <s v="Profit-focused 3rdgeneration circuit"/>
    <n v="9700"/>
    <n v="1146"/>
    <n v="11.814432989690722"/>
    <x v="0"/>
    <n v="23"/>
    <n v="49.826086956521742"/>
    <x v="0"/>
    <s v="CAD"/>
    <n v="1533877200"/>
    <n v="1534136400"/>
    <x v="342"/>
    <d v="2018-08-13T05:00:00"/>
    <n v="4"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n v="187"/>
    <n v="63.893048128342244"/>
    <x v="1"/>
    <s v="USD"/>
    <n v="1314421200"/>
    <n v="1315026000"/>
    <x v="343"/>
    <d v="2011-09-03T05:00:00"/>
    <n v="8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n v="2875"/>
    <n v="47.002434782608695"/>
    <x v="4"/>
    <s v="GBP"/>
    <n v="1293861600"/>
    <n v="1295071200"/>
    <x v="344"/>
    <d v="2011-01-15T06:00:00"/>
    <n v="15"/>
    <b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n v="88"/>
    <n v="108.47727272727273"/>
    <x v="1"/>
    <s v="USD"/>
    <n v="1507352400"/>
    <n v="1509426000"/>
    <x v="345"/>
    <d v="2017-10-31T05:00:00"/>
    <n v="25"/>
    <b v="0"/>
    <b v="0"/>
    <s v="theater/plays"/>
    <x v="3"/>
    <x v="3"/>
  </r>
  <r>
    <n v="362"/>
    <s v="Lawrence Group"/>
    <s v="Automated actuating conglomeration"/>
    <n v="3700"/>
    <n v="13755"/>
    <n v="371.75675675675677"/>
    <x v="1"/>
    <n v="191"/>
    <n v="72.015706806282722"/>
    <x v="1"/>
    <s v="USD"/>
    <n v="1296108000"/>
    <n v="1299391200"/>
    <x v="65"/>
    <d v="2011-03-06T06:00:00"/>
    <n v="39"/>
    <b v="0"/>
    <b v="0"/>
    <s v="music/rock"/>
    <x v="1"/>
    <x v="1"/>
  </r>
  <r>
    <n v="363"/>
    <s v="Gray-Davis"/>
    <s v="Re-contextualized local initiative"/>
    <n v="5200"/>
    <n v="8330"/>
    <n v="160.19230769230768"/>
    <x v="1"/>
    <n v="139"/>
    <n v="59.928057553956833"/>
    <x v="1"/>
    <s v="USD"/>
    <n v="1324965600"/>
    <n v="1325052000"/>
    <x v="346"/>
    <d v="2011-12-28T06:00:00"/>
    <n v="2"/>
    <b v="0"/>
    <b v="0"/>
    <s v="music/rock"/>
    <x v="1"/>
    <x v="1"/>
  </r>
  <r>
    <n v="364"/>
    <s v="Ramirez-Myers"/>
    <s v="Switchable intangible definition"/>
    <n v="900"/>
    <n v="14547"/>
    <n v="1616.3333333333333"/>
    <x v="1"/>
    <n v="186"/>
    <n v="78.209677419354833"/>
    <x v="1"/>
    <s v="USD"/>
    <n v="1520229600"/>
    <n v="1522818000"/>
    <x v="347"/>
    <d v="2018-04-04T05:00:00"/>
    <n v="31"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n v="112"/>
    <n v="104.77678571428571"/>
    <x v="2"/>
    <s v="AUD"/>
    <n v="1482991200"/>
    <n v="1485324000"/>
    <x v="348"/>
    <d v="2017-01-25T06:00:00"/>
    <n v="28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n v="101"/>
    <n v="105.52475247524752"/>
    <x v="1"/>
    <s v="USD"/>
    <n v="1294034400"/>
    <n v="1294120800"/>
    <x v="349"/>
    <d v="2011-01-04T06:00:00"/>
    <n v="2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n v="75"/>
    <n v="24.933333333333334"/>
    <x v="1"/>
    <s v="USD"/>
    <n v="1413608400"/>
    <n v="1415685600"/>
    <x v="350"/>
    <d v="2014-11-11T06:00:00"/>
    <n v="25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n v="206"/>
    <n v="69.873786407766985"/>
    <x v="4"/>
    <s v="GBP"/>
    <n v="1286946000"/>
    <n v="1288933200"/>
    <x v="351"/>
    <d v="2010-11-05T05:00:00"/>
    <n v="24"/>
    <b v="0"/>
    <b v="1"/>
    <s v="film &amp; video/documentary"/>
    <x v="4"/>
    <x v="4"/>
  </r>
  <r>
    <n v="369"/>
    <s v="Smith-Gonzalez"/>
    <s v="Polarized needs-based approach"/>
    <n v="5400"/>
    <n v="14743"/>
    <n v="273.01851851851853"/>
    <x v="1"/>
    <n v="154"/>
    <n v="95.733766233766232"/>
    <x v="1"/>
    <s v="USD"/>
    <n v="1359871200"/>
    <n v="1363237200"/>
    <x v="352"/>
    <d v="2013-03-14T05:00:00"/>
    <n v="40"/>
    <b v="0"/>
    <b v="1"/>
    <s v="film &amp; video/television"/>
    <x v="4"/>
    <x v="19"/>
  </r>
  <r>
    <n v="370"/>
    <s v="Skinner PLC"/>
    <s v="Intuitive well-modulated middleware"/>
    <n v="112300"/>
    <n v="178965"/>
    <n v="159.36331255565449"/>
    <x v="1"/>
    <n v="5966"/>
    <n v="29.997485752598056"/>
    <x v="1"/>
    <s v="USD"/>
    <n v="1555304400"/>
    <n v="1555822800"/>
    <x v="353"/>
    <d v="2019-04-21T05:00:00"/>
    <n v="7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n v="2176"/>
    <n v="59.011948529411768"/>
    <x v="1"/>
    <s v="USD"/>
    <n v="1423375200"/>
    <n v="1427778000"/>
    <x v="354"/>
    <d v="2015-03-31T05:00:00"/>
    <n v="52"/>
    <b v="0"/>
    <b v="0"/>
    <s v="theater/plays"/>
    <x v="3"/>
    <x v="3"/>
  </r>
  <r>
    <n v="372"/>
    <s v="Green-Carr"/>
    <s v="Pre-emptive bifurcated artificial intelligence"/>
    <n v="900"/>
    <n v="14324"/>
    <n v="1591.5555555555557"/>
    <x v="1"/>
    <n v="169"/>
    <n v="84.757396449704146"/>
    <x v="1"/>
    <s v="USD"/>
    <n v="1420696800"/>
    <n v="1422424800"/>
    <x v="355"/>
    <d v="2015-01-28T06:00:00"/>
    <n v="21"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n v="2106"/>
    <n v="78.010921177587846"/>
    <x v="1"/>
    <s v="USD"/>
    <n v="1502946000"/>
    <n v="1503637200"/>
    <x v="356"/>
    <d v="2017-08-25T05:00:00"/>
    <n v="9"/>
    <b v="0"/>
    <b v="0"/>
    <s v="theater/plays"/>
    <x v="3"/>
    <x v="3"/>
  </r>
  <r>
    <n v="374"/>
    <s v="Marshall Inc"/>
    <s v="Open-source multi-tasking data-warehouse"/>
    <n v="167400"/>
    <n v="22073"/>
    <n v="13.185782556750299"/>
    <x v="0"/>
    <n v="441"/>
    <n v="50.05215419501134"/>
    <x v="1"/>
    <s v="USD"/>
    <n v="1547186400"/>
    <n v="1547618400"/>
    <x v="357"/>
    <d v="2019-01-16T06:00:00"/>
    <n v="6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n v="25"/>
    <n v="59.16"/>
    <x v="1"/>
    <s v="USD"/>
    <n v="1444971600"/>
    <n v="1449900000"/>
    <x v="358"/>
    <d v="2015-12-12T06:00:00"/>
    <n v="58"/>
    <b v="0"/>
    <b v="0"/>
    <s v="music/indie rock"/>
    <x v="1"/>
    <x v="7"/>
  </r>
  <r>
    <n v="376"/>
    <s v="Perry PLC"/>
    <s v="Mandatory uniform matrix"/>
    <n v="3400"/>
    <n v="12275"/>
    <n v="361.02941176470586"/>
    <x v="1"/>
    <n v="131"/>
    <n v="93.702290076335885"/>
    <x v="1"/>
    <s v="USD"/>
    <n v="1404622800"/>
    <n v="1405141200"/>
    <x v="359"/>
    <d v="2014-07-12T05:00:00"/>
    <n v="7"/>
    <b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n v="127"/>
    <n v="40.14173228346457"/>
    <x v="1"/>
    <s v="USD"/>
    <n v="1571720400"/>
    <n v="1572933600"/>
    <x v="12"/>
    <d v="2019-11-05T06:00:00"/>
    <n v="15"/>
    <b v="0"/>
    <b v="0"/>
    <s v="theater/plays"/>
    <x v="3"/>
    <x v="3"/>
  </r>
  <r>
    <n v="378"/>
    <s v="Fleming-Oliver"/>
    <s v="Managed stable function"/>
    <n v="178200"/>
    <n v="24882"/>
    <n v="13.962962962962964"/>
    <x v="0"/>
    <n v="355"/>
    <n v="70.090140845070422"/>
    <x v="1"/>
    <s v="USD"/>
    <n v="1526878800"/>
    <n v="1530162000"/>
    <x v="360"/>
    <d v="2018-06-28T05:00:00"/>
    <n v="39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n v="44"/>
    <n v="66.181818181818187"/>
    <x v="4"/>
    <s v="GBP"/>
    <n v="1319691600"/>
    <n v="1320904800"/>
    <x v="361"/>
    <d v="2011-11-10T06:00:00"/>
    <n v="15"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n v="84"/>
    <n v="47.714285714285715"/>
    <x v="1"/>
    <s v="USD"/>
    <n v="1371963600"/>
    <n v="1372395600"/>
    <x v="362"/>
    <d v="2013-06-28T05:00:00"/>
    <n v="6"/>
    <b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n v="155"/>
    <n v="62.896774193548389"/>
    <x v="1"/>
    <s v="USD"/>
    <n v="1433739600"/>
    <n v="1437714000"/>
    <x v="363"/>
    <d v="2015-07-24T05:00:00"/>
    <n v="47"/>
    <b v="0"/>
    <b v="0"/>
    <s v="theater/plays"/>
    <x v="3"/>
    <x v="3"/>
  </r>
  <r>
    <n v="382"/>
    <s v="King Ltd"/>
    <s v="Visionary systemic process improvement"/>
    <n v="9100"/>
    <n v="5803"/>
    <n v="63.769230769230766"/>
    <x v="0"/>
    <n v="67"/>
    <n v="86.611940298507463"/>
    <x v="1"/>
    <s v="USD"/>
    <n v="1508130000"/>
    <n v="1509771600"/>
    <x v="364"/>
    <d v="2017-11-04T05:00:00"/>
    <n v="20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n v="189"/>
    <n v="75.126984126984127"/>
    <x v="1"/>
    <s v="USD"/>
    <n v="1550037600"/>
    <n v="1550556000"/>
    <x v="210"/>
    <d v="2019-02-19T06:00:00"/>
    <n v="7"/>
    <b v="0"/>
    <b v="1"/>
    <s v="food/food trucks"/>
    <x v="0"/>
    <x v="0"/>
  </r>
  <r>
    <n v="384"/>
    <s v="Baker, Collins and Smith"/>
    <s v="Reactive real-time software"/>
    <n v="114400"/>
    <n v="196779"/>
    <n v="172.00961538461539"/>
    <x v="1"/>
    <n v="4799"/>
    <n v="41.004167534903104"/>
    <x v="1"/>
    <s v="USD"/>
    <n v="1486706400"/>
    <n v="1489039200"/>
    <x v="365"/>
    <d v="2017-03-09T06:00:00"/>
    <n v="28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n v="1137"/>
    <n v="50.007915567282325"/>
    <x v="1"/>
    <s v="USD"/>
    <n v="1553835600"/>
    <n v="1556600400"/>
    <x v="366"/>
    <d v="2019-04-30T05:00:00"/>
    <n v="33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n v="1068"/>
    <n v="96.960674157303373"/>
    <x v="1"/>
    <s v="USD"/>
    <n v="1277528400"/>
    <n v="1278565200"/>
    <x v="367"/>
    <d v="2010-07-08T05:00:00"/>
    <n v="13"/>
    <b v="0"/>
    <b v="0"/>
    <s v="theater/plays"/>
    <x v="3"/>
    <x v="3"/>
  </r>
  <r>
    <n v="387"/>
    <s v="Flores-Lambert"/>
    <s v="Triple-buffered logistical frame"/>
    <n v="109000"/>
    <n v="42795"/>
    <n v="39.261467889908253"/>
    <x v="0"/>
    <n v="424"/>
    <n v="100.93160377358491"/>
    <x v="1"/>
    <s v="USD"/>
    <n v="1339477200"/>
    <n v="1339909200"/>
    <x v="368"/>
    <d v="2012-06-17T05:00:00"/>
    <n v="6"/>
    <b v="0"/>
    <b v="0"/>
    <s v="technology/wearables"/>
    <x v="2"/>
    <x v="8"/>
  </r>
  <r>
    <n v="388"/>
    <s v="Cruz Ltd"/>
    <s v="Exclusive dynamic adapter"/>
    <n v="114800"/>
    <n v="12938"/>
    <n v="11.270034843205575"/>
    <x v="3"/>
    <n v="145"/>
    <n v="89.227586206896547"/>
    <x v="5"/>
    <s v="CHF"/>
    <n v="1325656800"/>
    <n v="1325829600"/>
    <x v="369"/>
    <d v="2012-01-06T06:00:00"/>
    <n v="3"/>
    <b v="0"/>
    <b v="0"/>
    <s v="music/indie rock"/>
    <x v="1"/>
    <x v="7"/>
  </r>
  <r>
    <n v="389"/>
    <s v="Knox-Garner"/>
    <s v="Automated systemic hierarchy"/>
    <n v="83000"/>
    <n v="101352"/>
    <n v="122.11084337349398"/>
    <x v="1"/>
    <n v="1152"/>
    <n v="87.979166666666671"/>
    <x v="1"/>
    <s v="USD"/>
    <n v="1288242000"/>
    <n v="1290578400"/>
    <x v="370"/>
    <d v="2010-11-24T06:00:00"/>
    <n v="28"/>
    <b v="0"/>
    <b v="0"/>
    <s v="theater/plays"/>
    <x v="3"/>
    <x v="3"/>
  </r>
  <r>
    <n v="390"/>
    <s v="Davis-Allen"/>
    <s v="Digitized eco-centric core"/>
    <n v="2400"/>
    <n v="4477"/>
    <n v="186.54166666666666"/>
    <x v="1"/>
    <n v="50"/>
    <n v="89.54"/>
    <x v="1"/>
    <s v="USD"/>
    <n v="1379048400"/>
    <n v="1380344400"/>
    <x v="371"/>
    <d v="2013-09-28T05:00:00"/>
    <n v="16"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n v="151"/>
    <n v="29.09271523178808"/>
    <x v="1"/>
    <s v="USD"/>
    <n v="1389679200"/>
    <n v="1389852000"/>
    <x v="287"/>
    <d v="2014-01-16T06:00:00"/>
    <n v="3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71"/>
    <x v="0"/>
    <n v="1608"/>
    <n v="42.006218905472636"/>
    <x v="1"/>
    <s v="USD"/>
    <n v="1294293600"/>
    <n v="1294466400"/>
    <x v="372"/>
    <d v="2011-01-08T06:00:00"/>
    <n v="3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3"/>
    <x v="1"/>
    <n v="3059"/>
    <n v="47.004903563255965"/>
    <x v="0"/>
    <s v="CAD"/>
    <n v="1500267600"/>
    <n v="1500354000"/>
    <x v="373"/>
    <d v="2017-07-18T05:00:00"/>
    <n v="2"/>
    <b v="0"/>
    <b v="0"/>
    <s v="music/jazz"/>
    <x v="1"/>
    <x v="17"/>
  </r>
  <r>
    <n v="394"/>
    <s v="Noble-Bailey"/>
    <s v="Customizable dynamic info-mediaries"/>
    <n v="800"/>
    <n v="3755"/>
    <n v="469.375"/>
    <x v="1"/>
    <n v="34"/>
    <n v="110.44117647058823"/>
    <x v="1"/>
    <s v="USD"/>
    <n v="1375074000"/>
    <n v="1375938000"/>
    <x v="374"/>
    <d v="2013-08-08T05:00:00"/>
    <n v="11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n v="220"/>
    <n v="41.990909090909092"/>
    <x v="1"/>
    <s v="USD"/>
    <n v="1323324000"/>
    <n v="1323410400"/>
    <x v="375"/>
    <d v="2011-12-09T06:00:00"/>
    <n v="2"/>
    <b v="1"/>
    <b v="0"/>
    <s v="theater/plays"/>
    <x v="3"/>
    <x v="3"/>
  </r>
  <r>
    <n v="396"/>
    <s v="Holmes PLC"/>
    <s v="Digitized local info-mediaries"/>
    <n v="46100"/>
    <n v="77012"/>
    <n v="167.05422993492408"/>
    <x v="1"/>
    <n v="1604"/>
    <n v="48.012468827930178"/>
    <x v="2"/>
    <s v="AUD"/>
    <n v="1538715600"/>
    <n v="1539406800"/>
    <x v="376"/>
    <d v="2018-10-13T05:00:00"/>
    <n v="9"/>
    <b v="0"/>
    <b v="0"/>
    <s v="film &amp; video/drama"/>
    <x v="4"/>
    <x v="6"/>
  </r>
  <r>
    <n v="397"/>
    <s v="Jones-Martin"/>
    <s v="Virtual systematic monitoring"/>
    <n v="8100"/>
    <n v="14083"/>
    <n v="173.8641975308642"/>
    <x v="1"/>
    <n v="454"/>
    <n v="31.019823788546255"/>
    <x v="1"/>
    <s v="USD"/>
    <n v="1369285200"/>
    <n v="1369803600"/>
    <x v="377"/>
    <d v="2013-05-29T05:00:00"/>
    <n v="7"/>
    <b v="0"/>
    <b v="0"/>
    <s v="music/rock"/>
    <x v="1"/>
    <x v="1"/>
  </r>
  <r>
    <n v="398"/>
    <s v="Myers LLC"/>
    <s v="Reactive bottom-line open architecture"/>
    <n v="1700"/>
    <n v="12202"/>
    <n v="717.76470588235293"/>
    <x v="1"/>
    <n v="123"/>
    <n v="99.203252032520325"/>
    <x v="6"/>
    <s v="EUR"/>
    <n v="1525755600"/>
    <n v="1525928400"/>
    <x v="378"/>
    <d v="2018-05-10T05:00:00"/>
    <n v="3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n v="941"/>
    <n v="66.022316684378325"/>
    <x v="1"/>
    <s v="USD"/>
    <n v="1296626400"/>
    <n v="1297231200"/>
    <x v="379"/>
    <d v="2011-02-09T06:00:00"/>
    <n v="8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x v="380"/>
    <d v="2013-09-07T05:00:00"/>
    <n v="23"/>
    <b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n v="299"/>
    <n v="46.060200668896321"/>
    <x v="1"/>
    <s v="USD"/>
    <n v="1572152400"/>
    <n v="1572152400"/>
    <x v="381"/>
    <d v="2019-10-27T05:00:00"/>
    <n v="1"/>
    <b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n v="1325829600"/>
    <n v="1329890400"/>
    <x v="382"/>
    <d v="2012-02-22T06:00:00"/>
    <n v="48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n v="3015"/>
    <n v="55.99336650082919"/>
    <x v="0"/>
    <s v="CAD"/>
    <n v="1273640400"/>
    <n v="1276750800"/>
    <x v="125"/>
    <d v="2010-06-17T05:00:00"/>
    <n v="37"/>
    <b v="0"/>
    <b v="1"/>
    <s v="theater/plays"/>
    <x v="3"/>
    <x v="3"/>
  </r>
  <r>
    <n v="404"/>
    <s v="Bailey-Boyer"/>
    <s v="Visionary exuding Internet solution"/>
    <n v="48900"/>
    <n v="154321"/>
    <n v="315.58486707566465"/>
    <x v="1"/>
    <n v="2237"/>
    <n v="68.985695127402778"/>
    <x v="1"/>
    <s v="USD"/>
    <n v="1510639200"/>
    <n v="1510898400"/>
    <x v="383"/>
    <d v="2017-11-17T06:00:00"/>
    <n v="4"/>
    <b v="0"/>
    <b v="0"/>
    <s v="theater/plays"/>
    <x v="3"/>
    <x v="3"/>
  </r>
  <r>
    <n v="405"/>
    <s v="Lee LLC"/>
    <s v="Synchronized secondary analyzer"/>
    <n v="29600"/>
    <n v="26527"/>
    <n v="89.618243243243242"/>
    <x v="0"/>
    <n v="435"/>
    <n v="60.981609195402299"/>
    <x v="1"/>
    <s v="USD"/>
    <n v="1528088400"/>
    <n v="1532408400"/>
    <x v="384"/>
    <d v="2018-07-24T05:00:00"/>
    <n v="51"/>
    <b v="0"/>
    <b v="0"/>
    <s v="theater/plays"/>
    <x v="3"/>
    <x v="3"/>
  </r>
  <r>
    <n v="406"/>
    <s v="Lyons Inc"/>
    <s v="Balanced attitude-oriented parallelism"/>
    <n v="39300"/>
    <n v="71583"/>
    <n v="182.14503816793894"/>
    <x v="1"/>
    <n v="645"/>
    <n v="110.98139534883721"/>
    <x v="1"/>
    <s v="USD"/>
    <n v="1359525600"/>
    <n v="1360562400"/>
    <x v="385"/>
    <d v="2013-02-11T06:00:00"/>
    <n v="13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n v="484"/>
    <n v="25"/>
    <x v="3"/>
    <s v="DKK"/>
    <n v="1570942800"/>
    <n v="1571547600"/>
    <x v="386"/>
    <d v="2019-10-20T05:00:00"/>
    <n v="8"/>
    <b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n v="154"/>
    <n v="78.759740259740255"/>
    <x v="0"/>
    <s v="CAD"/>
    <n v="1466398800"/>
    <n v="1468126800"/>
    <x v="387"/>
    <d v="2016-07-10T05:00:00"/>
    <n v="21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n v="714"/>
    <n v="87.960784313725483"/>
    <x v="1"/>
    <s v="USD"/>
    <n v="1492491600"/>
    <n v="1492837200"/>
    <x v="388"/>
    <d v="2017-04-22T05:00:00"/>
    <n v="5"/>
    <b v="0"/>
    <b v="0"/>
    <s v="music/rock"/>
    <x v="1"/>
    <x v="1"/>
  </r>
  <r>
    <n v="410"/>
    <s v="Mcmillan Group"/>
    <s v="Advanced cohesive Graphic Interface"/>
    <n v="153700"/>
    <n v="55536"/>
    <n v="36.132726089785294"/>
    <x v="2"/>
    <n v="1111"/>
    <n v="49.987398739873989"/>
    <x v="1"/>
    <s v="USD"/>
    <n v="1430197200"/>
    <n v="1430197200"/>
    <x v="277"/>
    <d v="2015-04-28T05:00:00"/>
    <n v="1"/>
    <b v="0"/>
    <b v="0"/>
    <s v="games/mobile games"/>
    <x v="6"/>
    <x v="20"/>
  </r>
  <r>
    <n v="411"/>
    <s v="Beck, Thompson and Martinez"/>
    <s v="Down-sized maximized function"/>
    <n v="7800"/>
    <n v="8161"/>
    <n v="104.62820512820512"/>
    <x v="1"/>
    <n v="82"/>
    <n v="99.524390243902445"/>
    <x v="1"/>
    <s v="USD"/>
    <n v="1496034000"/>
    <n v="1496206800"/>
    <x v="389"/>
    <d v="2017-05-31T05:00:00"/>
    <n v="3"/>
    <b v="0"/>
    <b v="0"/>
    <s v="theater/plays"/>
    <x v="3"/>
    <x v="3"/>
  </r>
  <r>
    <n v="412"/>
    <s v="Rodriguez-Scott"/>
    <s v="Realigned zero tolerance software"/>
    <n v="2100"/>
    <n v="14046"/>
    <n v="668.85714285714289"/>
    <x v="1"/>
    <n v="134"/>
    <n v="104.82089552238806"/>
    <x v="1"/>
    <s v="USD"/>
    <n v="1388728800"/>
    <n v="1389592800"/>
    <x v="390"/>
    <d v="2014-01-13T06:00:00"/>
    <n v="11"/>
    <b v="0"/>
    <b v="0"/>
    <s v="publishing/fiction"/>
    <x v="5"/>
    <x v="13"/>
  </r>
  <r>
    <n v="413"/>
    <s v="Rush-Bowers"/>
    <s v="Persevering analyzing extranet"/>
    <n v="189500"/>
    <n v="117628"/>
    <n v="62.072823218997364"/>
    <x v="2"/>
    <n v="1089"/>
    <n v="108.01469237832875"/>
    <x v="1"/>
    <s v="USD"/>
    <n v="1543298400"/>
    <n v="1545631200"/>
    <x v="391"/>
    <d v="2018-12-24T06:00:00"/>
    <n v="28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n v="5497"/>
    <n v="28.998544660724033"/>
    <x v="1"/>
    <s v="USD"/>
    <n v="1271739600"/>
    <n v="1272430800"/>
    <x v="392"/>
    <d v="2010-04-28T05:00:00"/>
    <n v="9"/>
    <b v="0"/>
    <b v="1"/>
    <s v="food/food trucks"/>
    <x v="0"/>
    <x v="0"/>
  </r>
  <r>
    <n v="415"/>
    <s v="Anderson-Pham"/>
    <s v="Intuitive needs-based monitoring"/>
    <n v="113500"/>
    <n v="12552"/>
    <n v="11.059030837004405"/>
    <x v="0"/>
    <n v="418"/>
    <n v="30.028708133971293"/>
    <x v="1"/>
    <s v="USD"/>
    <n v="1326434400"/>
    <n v="1327903200"/>
    <x v="393"/>
    <d v="2012-01-30T06:00:00"/>
    <n v="18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n v="1439"/>
    <n v="41.005559416261292"/>
    <x v="1"/>
    <s v="USD"/>
    <n v="1295244000"/>
    <n v="1296021600"/>
    <x v="394"/>
    <d v="2011-01-26T06:00:00"/>
    <n v="10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n v="15"/>
    <n v="62.866666666666667"/>
    <x v="1"/>
    <s v="USD"/>
    <n v="1541221200"/>
    <n v="1543298400"/>
    <x v="395"/>
    <d v="2018-11-27T06:00:00"/>
    <n v="25"/>
    <b v="0"/>
    <b v="0"/>
    <s v="theater/plays"/>
    <x v="3"/>
    <x v="3"/>
  </r>
  <r>
    <n v="418"/>
    <s v="Jackson PLC"/>
    <s v="Quality-focused client-server core"/>
    <n v="163700"/>
    <n v="93963"/>
    <n v="57.399511301160658"/>
    <x v="0"/>
    <n v="1999"/>
    <n v="47.005002501250623"/>
    <x v="0"/>
    <s v="CAD"/>
    <n v="1336280400"/>
    <n v="1336366800"/>
    <x v="396"/>
    <d v="2012-05-07T05:00:00"/>
    <n v="2"/>
    <b v="0"/>
    <b v="0"/>
    <s v="film &amp; video/documentary"/>
    <x v="4"/>
    <x v="4"/>
  </r>
  <r>
    <n v="419"/>
    <s v="Ware-Arias"/>
    <s v="Upgradable maximized protocol"/>
    <n v="113800"/>
    <n v="140469"/>
    <n v="123.43497363796133"/>
    <x v="1"/>
    <n v="5203"/>
    <n v="26.997693638285604"/>
    <x v="1"/>
    <s v="USD"/>
    <n v="1324533600"/>
    <n v="1325052000"/>
    <x v="397"/>
    <d v="2011-12-28T06:00:00"/>
    <n v="7"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n v="94"/>
    <n v="68.329787234042556"/>
    <x v="1"/>
    <s v="USD"/>
    <n v="1498366800"/>
    <n v="1499576400"/>
    <x v="398"/>
    <d v="2017-07-09T05:00:00"/>
    <n v="15"/>
    <b v="0"/>
    <b v="0"/>
    <s v="theater/plays"/>
    <x v="3"/>
    <x v="3"/>
  </r>
  <r>
    <n v="421"/>
    <s v="Thomas-Lopez"/>
    <s v="User-centric fault-tolerant archive"/>
    <n v="9400"/>
    <n v="6015"/>
    <n v="63.98936170212766"/>
    <x v="0"/>
    <n v="118"/>
    <n v="50.974576271186443"/>
    <x v="1"/>
    <s v="USD"/>
    <n v="1498712400"/>
    <n v="1501304400"/>
    <x v="399"/>
    <d v="2017-07-29T05:00:00"/>
    <n v="31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n v="205"/>
    <n v="54.024390243902438"/>
    <x v="1"/>
    <s v="USD"/>
    <n v="1271480400"/>
    <n v="1273208400"/>
    <x v="400"/>
    <d v="2010-05-07T05:00:00"/>
    <n v="21"/>
    <b v="0"/>
    <b v="1"/>
    <s v="theater/plays"/>
    <x v="3"/>
    <x v="3"/>
  </r>
  <r>
    <n v="423"/>
    <s v="Jones-Riddle"/>
    <s v="Self-enabling real-time definition"/>
    <n v="147800"/>
    <n v="15723"/>
    <n v="10.638024357239512"/>
    <x v="0"/>
    <n v="162"/>
    <n v="97.055555555555557"/>
    <x v="1"/>
    <s v="USD"/>
    <n v="1316667600"/>
    <n v="1316840400"/>
    <x v="116"/>
    <d v="2011-09-24T05:00:00"/>
    <n v="3"/>
    <b v="0"/>
    <b v="1"/>
    <s v="food/food trucks"/>
    <x v="0"/>
    <x v="0"/>
  </r>
  <r>
    <n v="424"/>
    <s v="Schmidt-Gomez"/>
    <s v="User-centric impactful projection"/>
    <n v="5100"/>
    <n v="2064"/>
    <n v="40.470588235294116"/>
    <x v="0"/>
    <n v="83"/>
    <n v="24.867469879518072"/>
    <x v="1"/>
    <s v="USD"/>
    <n v="1524027600"/>
    <n v="1524546000"/>
    <x v="401"/>
    <d v="2018-04-24T05:00:00"/>
    <n v="7"/>
    <b v="0"/>
    <b v="0"/>
    <s v="music/indie rock"/>
    <x v="1"/>
    <x v="7"/>
  </r>
  <r>
    <n v="425"/>
    <s v="Sullivan, Davis and Booth"/>
    <s v="Vision-oriented actuating hardware"/>
    <n v="2700"/>
    <n v="7767"/>
    <n v="287.66666666666669"/>
    <x v="1"/>
    <n v="92"/>
    <n v="84.423913043478265"/>
    <x v="1"/>
    <s v="USD"/>
    <n v="1438059600"/>
    <n v="1438578000"/>
    <x v="402"/>
    <d v="2015-08-03T05:00:00"/>
    <n v="7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n v="219"/>
    <n v="47.091324200913242"/>
    <x v="1"/>
    <s v="USD"/>
    <n v="1361944800"/>
    <n v="1362549600"/>
    <x v="403"/>
    <d v="2013-03-06T06:00:00"/>
    <n v="8"/>
    <b v="0"/>
    <b v="0"/>
    <s v="theater/plays"/>
    <x v="3"/>
    <x v="3"/>
  </r>
  <r>
    <n v="427"/>
    <s v="Hicks, Wall and Webb"/>
    <s v="Managed discrete framework"/>
    <n v="174500"/>
    <n v="197018"/>
    <n v="112.90429799426934"/>
    <x v="1"/>
    <n v="2526"/>
    <n v="77.996041171813147"/>
    <x v="1"/>
    <s v="USD"/>
    <n v="1410584400"/>
    <n v="1413349200"/>
    <x v="404"/>
    <d v="2014-10-15T05:00:00"/>
    <n v="33"/>
    <b v="0"/>
    <b v="1"/>
    <s v="theater/plays"/>
    <x v="3"/>
    <x v="3"/>
  </r>
  <r>
    <n v="428"/>
    <s v="Mayer-Richmond"/>
    <s v="Progressive zero-defect capability"/>
    <n v="101400"/>
    <n v="47037"/>
    <n v="46.387573964497044"/>
    <x v="0"/>
    <n v="747"/>
    <n v="62.967871485943775"/>
    <x v="1"/>
    <s v="USD"/>
    <n v="1297404000"/>
    <n v="1298008800"/>
    <x v="405"/>
    <d v="2011-02-18T06:00:00"/>
    <n v="8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n v="2138"/>
    <n v="81.006080449017773"/>
    <x v="1"/>
    <s v="USD"/>
    <n v="1392012000"/>
    <n v="1394427600"/>
    <x v="406"/>
    <d v="2014-03-10T05:00:00"/>
    <n v="29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n v="84"/>
    <n v="65.321428571428569"/>
    <x v="1"/>
    <s v="USD"/>
    <n v="1569733200"/>
    <n v="1572670800"/>
    <x v="407"/>
    <d v="2019-11-02T05:00:00"/>
    <n v="35"/>
    <b v="0"/>
    <b v="0"/>
    <s v="theater/plays"/>
    <x v="3"/>
    <x v="3"/>
  </r>
  <r>
    <n v="431"/>
    <s v="Rosales LLC"/>
    <s v="Compatible multimedia utilization"/>
    <n v="5100"/>
    <n v="9817"/>
    <n v="192.49019607843138"/>
    <x v="1"/>
    <n v="94"/>
    <n v="104.43617021276596"/>
    <x v="1"/>
    <s v="USD"/>
    <n v="1529643600"/>
    <n v="1531112400"/>
    <x v="408"/>
    <d v="2018-07-09T05:00:00"/>
    <n v="18"/>
    <b v="1"/>
    <b v="0"/>
    <s v="theater/plays"/>
    <x v="3"/>
    <x v="3"/>
  </r>
  <r>
    <n v="432"/>
    <s v="Harper-Bryan"/>
    <s v="Re-contextualized dedicated hardware"/>
    <n v="7700"/>
    <n v="6369"/>
    <n v="82.714285714285708"/>
    <x v="0"/>
    <n v="91"/>
    <n v="69.989010989010993"/>
    <x v="1"/>
    <s v="USD"/>
    <n v="1399006800"/>
    <n v="1400734800"/>
    <x v="409"/>
    <d v="2014-05-22T05:00:00"/>
    <n v="21"/>
    <b v="0"/>
    <b v="0"/>
    <s v="theater/plays"/>
    <x v="3"/>
    <x v="3"/>
  </r>
  <r>
    <n v="433"/>
    <s v="Potter, Harper and Everett"/>
    <s v="Decentralized composite paradigm"/>
    <n v="121400"/>
    <n v="65755"/>
    <n v="54.163920922570014"/>
    <x v="0"/>
    <n v="792"/>
    <n v="83.023989898989896"/>
    <x v="1"/>
    <s v="USD"/>
    <n v="1385359200"/>
    <n v="1386741600"/>
    <x v="410"/>
    <d v="2013-12-11T06:00:00"/>
    <n v="17"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n v="10"/>
    <n v="90.3"/>
    <x v="0"/>
    <s v="CAD"/>
    <n v="1480572000"/>
    <n v="1481781600"/>
    <x v="411"/>
    <d v="2016-12-15T06:00:00"/>
    <n v="15"/>
    <b v="1"/>
    <b v="0"/>
    <s v="theater/plays"/>
    <x v="3"/>
    <x v="3"/>
  </r>
  <r>
    <n v="435"/>
    <s v="Spence, Jackson and Kelly"/>
    <s v="Advanced discrete leverage"/>
    <n v="152400"/>
    <n v="178120"/>
    <n v="116.87664041994751"/>
    <x v="1"/>
    <n v="1713"/>
    <n v="103.98131932282546"/>
    <x v="6"/>
    <s v="EUR"/>
    <n v="1418623200"/>
    <n v="1419660000"/>
    <x v="412"/>
    <d v="2014-12-27T06:00:00"/>
    <n v="13"/>
    <b v="0"/>
    <b v="1"/>
    <s v="theater/plays"/>
    <x v="3"/>
    <x v="3"/>
  </r>
  <r>
    <n v="436"/>
    <s v="King-Nguyen"/>
    <s v="Open-source incremental throughput"/>
    <n v="1300"/>
    <n v="13678"/>
    <n v="1052.1538461538462"/>
    <x v="1"/>
    <n v="249"/>
    <n v="54.931726907630519"/>
    <x v="1"/>
    <s v="USD"/>
    <n v="1555736400"/>
    <n v="1555822800"/>
    <x v="413"/>
    <d v="2019-04-21T05:00:00"/>
    <n v="2"/>
    <b v="0"/>
    <b v="0"/>
    <s v="music/jazz"/>
    <x v="1"/>
    <x v="17"/>
  </r>
  <r>
    <n v="437"/>
    <s v="Hansen Group"/>
    <s v="Centralized regional interface"/>
    <n v="8100"/>
    <n v="9969"/>
    <n v="123.07407407407408"/>
    <x v="1"/>
    <n v="192"/>
    <n v="51.921875"/>
    <x v="1"/>
    <s v="USD"/>
    <n v="1442120400"/>
    <n v="1442379600"/>
    <x v="414"/>
    <d v="2015-09-16T05:00:00"/>
    <n v="4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n v="247"/>
    <n v="60.02834008097166"/>
    <x v="1"/>
    <s v="USD"/>
    <n v="1362376800"/>
    <n v="1364965200"/>
    <x v="415"/>
    <d v="2013-04-03T05:00:00"/>
    <n v="31"/>
    <b v="0"/>
    <b v="0"/>
    <s v="theater/plays"/>
    <x v="3"/>
    <x v="3"/>
  </r>
  <r>
    <n v="439"/>
    <s v="Cummings Inc"/>
    <s v="Digitized transitional monitoring"/>
    <n v="28400"/>
    <n v="100900"/>
    <n v="355.28169014084506"/>
    <x v="1"/>
    <n v="2293"/>
    <n v="44.003488879197555"/>
    <x v="1"/>
    <s v="USD"/>
    <n v="1478408400"/>
    <n v="1479016800"/>
    <x v="416"/>
    <d v="2016-11-13T06:00:00"/>
    <n v="8"/>
    <b v="0"/>
    <b v="0"/>
    <s v="film &amp; video/science fiction"/>
    <x v="4"/>
    <x v="22"/>
  </r>
  <r>
    <n v="440"/>
    <s v="Miller-Poole"/>
    <s v="Networked optimal adapter"/>
    <n v="102500"/>
    <n v="165954"/>
    <n v="161.90634146341463"/>
    <x v="1"/>
    <n v="3131"/>
    <n v="53.003513254551258"/>
    <x v="1"/>
    <s v="USD"/>
    <n v="1498798800"/>
    <n v="1499662800"/>
    <x v="417"/>
    <d v="2017-07-10T05:00:00"/>
    <n v="11"/>
    <b v="0"/>
    <b v="0"/>
    <s v="film &amp; video/television"/>
    <x v="4"/>
    <x v="19"/>
  </r>
  <r>
    <n v="441"/>
    <s v="Rodriguez-West"/>
    <s v="Automated optimal function"/>
    <n v="7000"/>
    <n v="1744"/>
    <n v="24.914285714285715"/>
    <x v="0"/>
    <n v="32"/>
    <n v="54.5"/>
    <x v="1"/>
    <s v="USD"/>
    <n v="1335416400"/>
    <n v="1337835600"/>
    <x v="418"/>
    <d v="2012-05-24T05:00:00"/>
    <n v="29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n v="143"/>
    <n v="75.04195804195804"/>
    <x v="6"/>
    <s v="EUR"/>
    <n v="1504328400"/>
    <n v="1505710800"/>
    <x v="419"/>
    <d v="2017-09-18T05:00:00"/>
    <n v="17"/>
    <b v="0"/>
    <b v="0"/>
    <s v="theater/plays"/>
    <x v="3"/>
    <x v="3"/>
  </r>
  <r>
    <n v="443"/>
    <s v="Clark-Bowman"/>
    <s v="Stand-alone user-facing service-desk"/>
    <n v="9300"/>
    <n v="3232"/>
    <n v="34.752688172043008"/>
    <x v="3"/>
    <n v="90"/>
    <n v="35.911111111111111"/>
    <x v="1"/>
    <s v="USD"/>
    <n v="1285822800"/>
    <n v="1287464400"/>
    <x v="420"/>
    <d v="2010-10-19T05:00:00"/>
    <n v="20"/>
    <b v="0"/>
    <b v="0"/>
    <s v="theater/plays"/>
    <x v="3"/>
    <x v="3"/>
  </r>
  <r>
    <n v="444"/>
    <s v="Hensley Ltd"/>
    <s v="Versatile global attitude"/>
    <n v="6200"/>
    <n v="10938"/>
    <n v="176.41935483870967"/>
    <x v="1"/>
    <n v="296"/>
    <n v="36.952702702702702"/>
    <x v="1"/>
    <s v="USD"/>
    <n v="1311483600"/>
    <n v="1311656400"/>
    <x v="421"/>
    <d v="2011-07-26T05:00:00"/>
    <n v="3"/>
    <b v="0"/>
    <b v="1"/>
    <s v="music/indie rock"/>
    <x v="1"/>
    <x v="7"/>
  </r>
  <r>
    <n v="445"/>
    <s v="Anderson-Pearson"/>
    <s v="Intuitive demand-driven Local Area Network"/>
    <n v="2100"/>
    <n v="10739"/>
    <n v="511.38095238095241"/>
    <x v="1"/>
    <n v="170"/>
    <n v="63.170588235294119"/>
    <x v="1"/>
    <s v="USD"/>
    <n v="1291356000"/>
    <n v="1293170400"/>
    <x v="422"/>
    <d v="2010-12-24T06:00:00"/>
    <n v="22"/>
    <b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n v="186"/>
    <n v="29.99462365591398"/>
    <x v="1"/>
    <s v="USD"/>
    <n v="1355810400"/>
    <n v="1355983200"/>
    <x v="423"/>
    <d v="2012-12-20T06:00:00"/>
    <n v="3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n v="439"/>
    <n v="86"/>
    <x v="4"/>
    <s v="GBP"/>
    <n v="1513663200"/>
    <n v="1515045600"/>
    <x v="424"/>
    <d v="2018-01-04T06:00:00"/>
    <n v="17"/>
    <b v="0"/>
    <b v="0"/>
    <s v="film &amp; video/television"/>
    <x v="4"/>
    <x v="19"/>
  </r>
  <r>
    <n v="448"/>
    <s v="Price and Sons"/>
    <s v="Object-based demand-driven strategy"/>
    <n v="89900"/>
    <n v="45384"/>
    <n v="50.482758620689658"/>
    <x v="0"/>
    <n v="605"/>
    <n v="75.014876033057845"/>
    <x v="1"/>
    <s v="USD"/>
    <n v="1365915600"/>
    <n v="1366088400"/>
    <x v="425"/>
    <d v="2013-04-16T05:00:00"/>
    <n v="3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19767441860465"/>
    <x v="3"/>
    <s v="DKK"/>
    <n v="1551852000"/>
    <n v="1553317200"/>
    <x v="426"/>
    <d v="2019-03-23T05:00:00"/>
    <n v="18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x v="427"/>
    <d v="2018-11-13T06:00:00"/>
    <n v="24"/>
    <b v="0"/>
    <b v="0"/>
    <s v="film &amp; video/animation"/>
    <x v="4"/>
    <x v="10"/>
  </r>
  <r>
    <n v="451"/>
    <s v="Padilla-Porter"/>
    <s v="Innovative exuding matrix"/>
    <n v="148400"/>
    <n v="182302"/>
    <n v="122.84501347708895"/>
    <x v="1"/>
    <n v="6286"/>
    <n v="29.001272669424118"/>
    <x v="1"/>
    <s v="USD"/>
    <n v="1500440400"/>
    <n v="1503118800"/>
    <x v="428"/>
    <d v="2017-08-19T05:00:00"/>
    <n v="32"/>
    <b v="0"/>
    <b v="0"/>
    <s v="music/rock"/>
    <x v="1"/>
    <x v="1"/>
  </r>
  <r>
    <n v="452"/>
    <s v="Morris Group"/>
    <s v="Realigned impactful artificial intelligence"/>
    <n v="4800"/>
    <n v="3045"/>
    <n v="63.4375"/>
    <x v="0"/>
    <n v="31"/>
    <n v="98.225806451612897"/>
    <x v="1"/>
    <s v="USD"/>
    <n v="1278392400"/>
    <n v="1278478800"/>
    <x v="429"/>
    <d v="2010-07-07T05:00:00"/>
    <n v="2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n v="1181"/>
    <n v="87.001693480101608"/>
    <x v="1"/>
    <s v="USD"/>
    <n v="1480572000"/>
    <n v="1484114400"/>
    <x v="411"/>
    <d v="2017-01-11T06:00:00"/>
    <n v="42"/>
    <b v="0"/>
    <b v="0"/>
    <s v="film &amp; video/science fiction"/>
    <x v="4"/>
    <x v="22"/>
  </r>
  <r>
    <n v="454"/>
    <s v="Woods Inc"/>
    <s v="Upgradable upward-trending portal"/>
    <n v="4000"/>
    <n v="1763"/>
    <n v="44.075000000000003"/>
    <x v="0"/>
    <n v="39"/>
    <n v="45.205128205128204"/>
    <x v="1"/>
    <s v="USD"/>
    <n v="1382331600"/>
    <n v="1385445600"/>
    <x v="430"/>
    <d v="2013-11-26T06:00:00"/>
    <n v="37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n v="3727"/>
    <n v="37.001341561577675"/>
    <x v="1"/>
    <s v="USD"/>
    <n v="1316754000"/>
    <n v="1318741200"/>
    <x v="431"/>
    <d v="2011-10-16T05:00:00"/>
    <n v="24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n v="1605"/>
    <n v="94.976947040498445"/>
    <x v="1"/>
    <s v="USD"/>
    <n v="1518242400"/>
    <n v="1518242400"/>
    <x v="432"/>
    <d v="2018-02-10T06:00:00"/>
    <n v="1"/>
    <b v="0"/>
    <b v="1"/>
    <s v="music/indie rock"/>
    <x v="1"/>
    <x v="7"/>
  </r>
  <r>
    <n v="457"/>
    <s v="Sheppard, Smith and Spence"/>
    <s v="Cloned asymmetric functionalities"/>
    <n v="5000"/>
    <n v="1332"/>
    <n v="26.64"/>
    <x v="0"/>
    <n v="46"/>
    <n v="28.956521739130434"/>
    <x v="1"/>
    <s v="USD"/>
    <n v="1476421200"/>
    <n v="1476594000"/>
    <x v="433"/>
    <d v="2016-10-16T05:00:00"/>
    <n v="3"/>
    <b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n v="2120"/>
    <n v="55.993396226415094"/>
    <x v="1"/>
    <s v="USD"/>
    <n v="1269752400"/>
    <n v="1273554000"/>
    <x v="434"/>
    <d v="2010-05-11T05:00:00"/>
    <n v="45"/>
    <b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n v="105"/>
    <n v="54.038095238095238"/>
    <x v="1"/>
    <s v="USD"/>
    <n v="1419746400"/>
    <n v="1421906400"/>
    <x v="435"/>
    <d v="2015-01-22T06:00:00"/>
    <n v="26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n v="50"/>
    <n v="82.38"/>
    <x v="1"/>
    <s v="USD"/>
    <n v="1281330000"/>
    <n v="1281589200"/>
    <x v="8"/>
    <d v="2010-08-12T05:00:00"/>
    <n v="4"/>
    <b v="0"/>
    <b v="0"/>
    <s v="theater/plays"/>
    <x v="3"/>
    <x v="3"/>
  </r>
  <r>
    <n v="461"/>
    <s v="Terry-Salinas"/>
    <s v="Networked secondary structure"/>
    <n v="98800"/>
    <n v="139354"/>
    <n v="141.04655870445345"/>
    <x v="1"/>
    <n v="2080"/>
    <n v="66.997115384615384"/>
    <x v="1"/>
    <s v="USD"/>
    <n v="1398661200"/>
    <n v="1400389200"/>
    <x v="436"/>
    <d v="2014-05-18T05:00:00"/>
    <n v="21"/>
    <b v="0"/>
    <b v="0"/>
    <s v="film &amp; video/drama"/>
    <x v="4"/>
    <x v="6"/>
  </r>
  <r>
    <n v="462"/>
    <s v="Wang-Rodriguez"/>
    <s v="Total multimedia website"/>
    <n v="188800"/>
    <n v="57734"/>
    <n v="30.579449152542374"/>
    <x v="0"/>
    <n v="535"/>
    <n v="107.91401869158878"/>
    <x v="1"/>
    <s v="USD"/>
    <n v="1359525600"/>
    <n v="1362808800"/>
    <x v="385"/>
    <d v="2013-03-09T06:00:00"/>
    <n v="39"/>
    <b v="0"/>
    <b v="0"/>
    <s v="games/mobile games"/>
    <x v="6"/>
    <x v="20"/>
  </r>
  <r>
    <n v="463"/>
    <s v="Mckee-Hill"/>
    <s v="Cross-platform upward-trending parallelism"/>
    <n v="134300"/>
    <n v="145265"/>
    <n v="108.16455696202532"/>
    <x v="1"/>
    <n v="2105"/>
    <n v="69.009501187648453"/>
    <x v="1"/>
    <s v="USD"/>
    <n v="1388469600"/>
    <n v="1388815200"/>
    <x v="437"/>
    <d v="2014-01-04T06:00:00"/>
    <n v="5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n v="2436"/>
    <n v="39.006568144499177"/>
    <x v="1"/>
    <s v="USD"/>
    <n v="1518328800"/>
    <n v="1519538400"/>
    <x v="438"/>
    <d v="2018-02-25T06:00:00"/>
    <n v="15"/>
    <b v="0"/>
    <b v="0"/>
    <s v="theater/plays"/>
    <x v="3"/>
    <x v="3"/>
  </r>
  <r>
    <n v="465"/>
    <s v="Gonzalez-Robbins"/>
    <s v="Up-sized responsive protocol"/>
    <n v="4700"/>
    <n v="8829"/>
    <n v="187.85106382978722"/>
    <x v="1"/>
    <n v="80"/>
    <n v="110.3625"/>
    <x v="1"/>
    <s v="USD"/>
    <n v="1517032800"/>
    <n v="1517810400"/>
    <x v="439"/>
    <d v="2018-02-05T06:00:00"/>
    <n v="1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57142857142861"/>
    <x v="1"/>
    <s v="USD"/>
    <n v="1368594000"/>
    <n v="1370581200"/>
    <x v="440"/>
    <d v="2013-06-07T05:00:00"/>
    <n v="24"/>
    <b v="0"/>
    <b v="1"/>
    <s v="technology/wearables"/>
    <x v="2"/>
    <x v="8"/>
  </r>
  <r>
    <n v="467"/>
    <s v="Shaw Ltd"/>
    <s v="Profit-focused content-based application"/>
    <n v="1400"/>
    <n v="8053"/>
    <n v="575.21428571428567"/>
    <x v="1"/>
    <n v="139"/>
    <n v="57.935251798561154"/>
    <x v="0"/>
    <s v="CAD"/>
    <n v="1448258400"/>
    <n v="1448863200"/>
    <x v="441"/>
    <d v="2015-11-30T06:00:00"/>
    <n v="8"/>
    <b v="0"/>
    <b v="1"/>
    <s v="technology/web"/>
    <x v="2"/>
    <x v="2"/>
  </r>
  <r>
    <n v="468"/>
    <s v="Hughes Inc"/>
    <s v="Streamlined neutral analyzer"/>
    <n v="4000"/>
    <n v="1620"/>
    <n v="40.5"/>
    <x v="0"/>
    <n v="16"/>
    <n v="101.25"/>
    <x v="1"/>
    <s v="USD"/>
    <n v="1555218000"/>
    <n v="1556600400"/>
    <x v="442"/>
    <d v="2019-04-30T05:00:00"/>
    <n v="17"/>
    <b v="0"/>
    <b v="0"/>
    <s v="theater/plays"/>
    <x v="3"/>
    <x v="3"/>
  </r>
  <r>
    <n v="469"/>
    <s v="Olsen-Ryan"/>
    <s v="Assimilated neutral utilization"/>
    <n v="5600"/>
    <n v="10328"/>
    <n v="184.42857142857142"/>
    <x v="1"/>
    <n v="159"/>
    <n v="64.95597484276729"/>
    <x v="1"/>
    <s v="USD"/>
    <n v="1431925200"/>
    <n v="1432098000"/>
    <x v="443"/>
    <d v="2015-05-20T05:00:00"/>
    <n v="3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n v="381"/>
    <n v="27.00524934383202"/>
    <x v="1"/>
    <s v="USD"/>
    <n v="1481522400"/>
    <n v="1482127200"/>
    <x v="315"/>
    <d v="2016-12-19T06:00:00"/>
    <n v="8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422680412371"/>
    <x v="4"/>
    <s v="GBP"/>
    <n v="1335934800"/>
    <n v="1335934800"/>
    <x v="444"/>
    <d v="2012-05-02T05:00:00"/>
    <n v="1"/>
    <b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n v="575"/>
    <n v="104.94260869565217"/>
    <x v="1"/>
    <s v="USD"/>
    <n v="1552280400"/>
    <n v="1556946000"/>
    <x v="445"/>
    <d v="2019-05-04T05:00:00"/>
    <n v="55"/>
    <b v="0"/>
    <b v="0"/>
    <s v="music/rock"/>
    <x v="1"/>
    <x v="1"/>
  </r>
  <r>
    <n v="473"/>
    <s v="Richardson Inc"/>
    <s v="Assimilated fault-tolerant capacity"/>
    <n v="5000"/>
    <n v="8907"/>
    <n v="178.14"/>
    <x v="1"/>
    <n v="106"/>
    <n v="84.028301886792448"/>
    <x v="1"/>
    <s v="USD"/>
    <n v="1529989200"/>
    <n v="1530075600"/>
    <x v="446"/>
    <d v="2018-06-27T05:00:00"/>
    <n v="2"/>
    <b v="0"/>
    <b v="0"/>
    <s v="music/electric music"/>
    <x v="1"/>
    <x v="5"/>
  </r>
  <r>
    <n v="474"/>
    <s v="Santos-Young"/>
    <s v="Enhanced neutral ability"/>
    <n v="4000"/>
    <n v="14606"/>
    <n v="365.15"/>
    <x v="1"/>
    <n v="142"/>
    <n v="102.85915492957747"/>
    <x v="1"/>
    <s v="USD"/>
    <n v="1418709600"/>
    <n v="1418796000"/>
    <x v="447"/>
    <d v="2014-12-17T06:00:00"/>
    <n v="2"/>
    <b v="0"/>
    <b v="0"/>
    <s v="film &amp; video/television"/>
    <x v="4"/>
    <x v="19"/>
  </r>
  <r>
    <n v="475"/>
    <s v="Nichols Ltd"/>
    <s v="Function-based attitude-oriented groupware"/>
    <n v="7400"/>
    <n v="8432"/>
    <n v="113.94594594594595"/>
    <x v="1"/>
    <n v="211"/>
    <n v="39.962085308056871"/>
    <x v="1"/>
    <s v="USD"/>
    <n v="1372136400"/>
    <n v="1372482000"/>
    <x v="448"/>
    <d v="2013-06-29T05:00:00"/>
    <n v="5"/>
    <b v="0"/>
    <b v="1"/>
    <s v="publishing/translations"/>
    <x v="5"/>
    <x v="18"/>
  </r>
  <r>
    <n v="476"/>
    <s v="Murphy PLC"/>
    <s v="Optional solution-oriented instruction set"/>
    <n v="191500"/>
    <n v="57122"/>
    <n v="29.828720626631853"/>
    <x v="0"/>
    <n v="1120"/>
    <n v="51.001785714285717"/>
    <x v="1"/>
    <s v="USD"/>
    <n v="1533877200"/>
    <n v="1534395600"/>
    <x v="342"/>
    <d v="2018-08-16T05:00:00"/>
    <n v="7"/>
    <b v="0"/>
    <b v="0"/>
    <s v="publishing/fiction"/>
    <x v="5"/>
    <x v="13"/>
  </r>
  <r>
    <n v="477"/>
    <s v="Hogan, Porter and Rivera"/>
    <s v="Organic object-oriented core"/>
    <n v="8500"/>
    <n v="4613"/>
    <n v="54.27058823529412"/>
    <x v="0"/>
    <n v="113"/>
    <n v="40.823008849557525"/>
    <x v="1"/>
    <s v="USD"/>
    <n v="1309064400"/>
    <n v="1311397200"/>
    <x v="449"/>
    <d v="2011-07-23T05:00:00"/>
    <n v="28"/>
    <b v="0"/>
    <b v="0"/>
    <s v="film &amp; video/science fiction"/>
    <x v="4"/>
    <x v="22"/>
  </r>
  <r>
    <n v="478"/>
    <s v="Lyons LLC"/>
    <s v="Balanced impactful circuit"/>
    <n v="68800"/>
    <n v="162603"/>
    <n v="236.34156976744185"/>
    <x v="1"/>
    <n v="2756"/>
    <n v="58.999637155297535"/>
    <x v="1"/>
    <s v="USD"/>
    <n v="1425877200"/>
    <n v="1426914000"/>
    <x v="450"/>
    <d v="2015-03-21T05:00:00"/>
    <n v="13"/>
    <b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n v="173"/>
    <n v="71.156069364161851"/>
    <x v="4"/>
    <s v="GBP"/>
    <n v="1501304400"/>
    <n v="1501477200"/>
    <x v="451"/>
    <d v="2017-07-31T05:00:00"/>
    <n v="3"/>
    <b v="0"/>
    <b v="0"/>
    <s v="food/food trucks"/>
    <x v="0"/>
    <x v="0"/>
  </r>
  <r>
    <n v="480"/>
    <s v="Robles-Hudson"/>
    <s v="Balanced bifurcated leverage"/>
    <n v="8600"/>
    <n v="8656"/>
    <n v="100.65116279069767"/>
    <x v="1"/>
    <n v="87"/>
    <n v="99.494252873563212"/>
    <x v="1"/>
    <s v="USD"/>
    <n v="1268287200"/>
    <n v="1269061200"/>
    <x v="452"/>
    <d v="2010-03-20T05:00:00"/>
    <n v="10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n v="1538"/>
    <n v="103.98634590377114"/>
    <x v="1"/>
    <s v="USD"/>
    <n v="1412139600"/>
    <n v="1415772000"/>
    <x v="453"/>
    <d v="2014-11-12T06:00:00"/>
    <n v="43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n v="9"/>
    <n v="76.555555555555557"/>
    <x v="1"/>
    <s v="USD"/>
    <n v="1330063200"/>
    <n v="1331013600"/>
    <x v="454"/>
    <d v="2012-03-06T06:00:00"/>
    <n v="12"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n v="554"/>
    <n v="87.068592057761734"/>
    <x v="1"/>
    <s v="USD"/>
    <n v="1576130400"/>
    <n v="1576735200"/>
    <x v="455"/>
    <d v="2019-12-19T06:00:00"/>
    <n v="8"/>
    <b v="0"/>
    <b v="0"/>
    <s v="theater/plays"/>
    <x v="3"/>
    <x v="3"/>
  </r>
  <r>
    <n v="484"/>
    <s v="Landry Inc"/>
    <s v="Synergistic cohesive adapter"/>
    <n v="29600"/>
    <n v="77021"/>
    <n v="260.20608108108109"/>
    <x v="1"/>
    <n v="1572"/>
    <n v="48.99554707379135"/>
    <x v="4"/>
    <s v="GBP"/>
    <n v="1407128400"/>
    <n v="1411362000"/>
    <x v="456"/>
    <d v="2014-09-22T05:00:00"/>
    <n v="50"/>
    <b v="0"/>
    <b v="1"/>
    <s v="food/food trucks"/>
    <x v="0"/>
    <x v="0"/>
  </r>
  <r>
    <n v="485"/>
    <s v="Richards-Davis"/>
    <s v="Quality-focused mission-critical structure"/>
    <n v="90600"/>
    <n v="27844"/>
    <n v="30.73289183222958"/>
    <x v="0"/>
    <n v="648"/>
    <n v="42.969135802469133"/>
    <x v="4"/>
    <s v="GBP"/>
    <n v="1560142800"/>
    <n v="1563685200"/>
    <x v="457"/>
    <d v="2019-07-21T05:00:00"/>
    <n v="42"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n v="21"/>
    <n v="33.428571428571431"/>
    <x v="4"/>
    <s v="GBP"/>
    <n v="1520575200"/>
    <n v="1521867600"/>
    <x v="458"/>
    <d v="2018-03-24T05:00:00"/>
    <n v="16"/>
    <b v="0"/>
    <b v="1"/>
    <s v="publishing/translations"/>
    <x v="5"/>
    <x v="18"/>
  </r>
  <r>
    <n v="487"/>
    <s v="Smith-Wallace"/>
    <s v="Monitored 24/7 time-frame"/>
    <n v="110300"/>
    <n v="197024"/>
    <n v="178.62556663644605"/>
    <x v="1"/>
    <n v="2346"/>
    <n v="83.982949701619773"/>
    <x v="1"/>
    <s v="USD"/>
    <n v="1492664400"/>
    <n v="1495515600"/>
    <x v="459"/>
    <d v="2017-05-23T05:00:00"/>
    <n v="34"/>
    <b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n v="115"/>
    <n v="101.41739130434783"/>
    <x v="1"/>
    <s v="USD"/>
    <n v="1454479200"/>
    <n v="1455948000"/>
    <x v="460"/>
    <d v="2016-02-20T06:00:00"/>
    <n v="18"/>
    <b v="0"/>
    <b v="0"/>
    <s v="theater/plays"/>
    <x v="3"/>
    <x v="3"/>
  </r>
  <r>
    <n v="489"/>
    <s v="Clark Inc"/>
    <s v="Down-sized mobile time-frame"/>
    <n v="9200"/>
    <n v="9339"/>
    <n v="101.51086956521739"/>
    <x v="1"/>
    <n v="85"/>
    <n v="109.87058823529412"/>
    <x v="6"/>
    <s v="EUR"/>
    <n v="1281934800"/>
    <n v="1282366800"/>
    <x v="461"/>
    <d v="2010-08-21T05:00:00"/>
    <n v="6"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n v="144"/>
    <n v="31.916666666666668"/>
    <x v="1"/>
    <s v="USD"/>
    <n v="1573970400"/>
    <n v="1574575200"/>
    <x v="462"/>
    <d v="2019-11-24T06:00:00"/>
    <n v="8"/>
    <b v="0"/>
    <b v="0"/>
    <s v="journalism/audio"/>
    <x v="8"/>
    <x v="23"/>
  </r>
  <r>
    <n v="491"/>
    <s v="Henson PLC"/>
    <s v="Universal contextually-based knowledgebase"/>
    <n v="56800"/>
    <n v="173437"/>
    <n v="305.34683098591552"/>
    <x v="1"/>
    <n v="2443"/>
    <n v="70.993450675399103"/>
    <x v="1"/>
    <s v="USD"/>
    <n v="1372654800"/>
    <n v="1374901200"/>
    <x v="463"/>
    <d v="2013-07-27T05:00:00"/>
    <n v="27"/>
    <b v="0"/>
    <b v="1"/>
    <s v="food/food trucks"/>
    <x v="0"/>
    <x v="0"/>
  </r>
  <r>
    <n v="492"/>
    <s v="Garcia Group"/>
    <s v="Persevering interactive matrix"/>
    <n v="191000"/>
    <n v="45831"/>
    <n v="23.995287958115185"/>
    <x v="3"/>
    <n v="595"/>
    <n v="77.026890756302521"/>
    <x v="1"/>
    <s v="USD"/>
    <n v="1275886800"/>
    <n v="1278910800"/>
    <x v="464"/>
    <d v="2010-07-12T05:00:00"/>
    <n v="36"/>
    <b v="1"/>
    <b v="1"/>
    <s v="film &amp; video/shorts"/>
    <x v="4"/>
    <x v="12"/>
  </r>
  <r>
    <n v="493"/>
    <s v="Adams, Walker and Wong"/>
    <s v="Seamless background framework"/>
    <n v="900"/>
    <n v="6514"/>
    <n v="723.77777777777783"/>
    <x v="1"/>
    <n v="64"/>
    <n v="101.78125"/>
    <x v="1"/>
    <s v="USD"/>
    <n v="1561784400"/>
    <n v="1562907600"/>
    <x v="465"/>
    <d v="2019-07-12T05:00:00"/>
    <n v="14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n v="268"/>
    <n v="51.059701492537314"/>
    <x v="1"/>
    <s v="USD"/>
    <n v="1332392400"/>
    <n v="1332478800"/>
    <x v="466"/>
    <d v="2012-03-23T05:00:00"/>
    <n v="2"/>
    <b v="0"/>
    <b v="0"/>
    <s v="technology/wearables"/>
    <x v="2"/>
    <x v="8"/>
  </r>
  <r>
    <n v="495"/>
    <s v="Bell, Edwards and Andersen"/>
    <s v="Centralized clear-thinking solution"/>
    <n v="3200"/>
    <n v="13264"/>
    <n v="414.5"/>
    <x v="1"/>
    <n v="195"/>
    <n v="68.02051282051282"/>
    <x v="3"/>
    <s v="DKK"/>
    <n v="1402376400"/>
    <n v="1402722000"/>
    <x v="467"/>
    <d v="2014-06-14T05:00:00"/>
    <n v="5"/>
    <b v="0"/>
    <b v="0"/>
    <s v="theater/plays"/>
    <x v="3"/>
    <x v="3"/>
  </r>
  <r>
    <n v="496"/>
    <s v="Morales Group"/>
    <s v="Optimized bi-directional extranet"/>
    <n v="183800"/>
    <n v="1667"/>
    <n v="0.90696409140369971"/>
    <x v="0"/>
    <n v="54"/>
    <n v="30.87037037037037"/>
    <x v="1"/>
    <s v="USD"/>
    <n v="1495342800"/>
    <n v="1496811600"/>
    <x v="468"/>
    <d v="2017-06-07T05:00:00"/>
    <n v="18"/>
    <b v="0"/>
    <b v="0"/>
    <s v="film &amp; video/animation"/>
    <x v="4"/>
    <x v="10"/>
  </r>
  <r>
    <n v="497"/>
    <s v="Lucero Group"/>
    <s v="Intuitive actuating benchmark"/>
    <n v="9800"/>
    <n v="3349"/>
    <n v="34.173469387755105"/>
    <x v="0"/>
    <n v="120"/>
    <n v="27.908333333333335"/>
    <x v="1"/>
    <s v="USD"/>
    <n v="1482213600"/>
    <n v="1482213600"/>
    <x v="469"/>
    <d v="2016-12-20T06:00:00"/>
    <n v="1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n v="579"/>
    <n v="79.994818652849744"/>
    <x v="3"/>
    <s v="DKK"/>
    <n v="1420092000"/>
    <n v="1420264800"/>
    <x v="470"/>
    <d v="2015-01-03T06:00:00"/>
    <n v="3"/>
    <b v="0"/>
    <b v="0"/>
    <s v="technology/web"/>
    <x v="2"/>
    <x v="2"/>
  </r>
  <r>
    <n v="499"/>
    <s v="Hunt Group"/>
    <s v="Reverse-engineered executive emulation"/>
    <n v="163800"/>
    <n v="78743"/>
    <n v="48.072649572649574"/>
    <x v="0"/>
    <n v="2072"/>
    <n v="38.003378378378379"/>
    <x v="1"/>
    <s v="USD"/>
    <n v="1458018000"/>
    <n v="1458450000"/>
    <x v="471"/>
    <d v="2016-03-20T05:00:00"/>
    <n v="6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n v="1367384400"/>
    <n v="1369803600"/>
    <x v="472"/>
    <d v="2013-05-29T05:00:00"/>
    <n v="29"/>
    <b v="0"/>
    <b v="1"/>
    <s v="theater/plays"/>
    <x v="3"/>
    <x v="3"/>
  </r>
  <r>
    <n v="501"/>
    <s v="Mccann-Le"/>
    <s v="Focused coherent methodology"/>
    <n v="153600"/>
    <n v="107743"/>
    <n v="70.145182291666671"/>
    <x v="0"/>
    <n v="1796"/>
    <n v="59.990534521158132"/>
    <x v="1"/>
    <s v="USD"/>
    <n v="1363064400"/>
    <n v="1363237200"/>
    <x v="473"/>
    <d v="2013-03-14T05:00:00"/>
    <n v="3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n v="186"/>
    <n v="37.037634408602152"/>
    <x v="2"/>
    <s v="AUD"/>
    <n v="1343365200"/>
    <n v="1345870800"/>
    <x v="474"/>
    <d v="2012-08-25T05:00:00"/>
    <n v="30"/>
    <b v="0"/>
    <b v="1"/>
    <s v="games/video games"/>
    <x v="6"/>
    <x v="11"/>
  </r>
  <r>
    <n v="503"/>
    <s v="Collins LLC"/>
    <s v="Decentralized 4thgeneration time-frame"/>
    <n v="25500"/>
    <n v="45983"/>
    <n v="180.32549019607842"/>
    <x v="1"/>
    <n v="460"/>
    <n v="99.963043478260872"/>
    <x v="1"/>
    <s v="USD"/>
    <n v="1435726800"/>
    <n v="1437454800"/>
    <x v="72"/>
    <d v="2015-07-21T05:00:00"/>
    <n v="21"/>
    <b v="0"/>
    <b v="0"/>
    <s v="film &amp; video/drama"/>
    <x v="4"/>
    <x v="6"/>
  </r>
  <r>
    <n v="504"/>
    <s v="Smith-Miller"/>
    <s v="De-engineered cohesive moderator"/>
    <n v="7500"/>
    <n v="6924"/>
    <n v="92.32"/>
    <x v="0"/>
    <n v="62"/>
    <n v="111.6774193548387"/>
    <x v="6"/>
    <s v="EUR"/>
    <n v="1431925200"/>
    <n v="1432011600"/>
    <x v="443"/>
    <d v="2015-05-19T05:00:00"/>
    <n v="2"/>
    <b v="0"/>
    <b v="0"/>
    <s v="music/rock"/>
    <x v="1"/>
    <x v="1"/>
  </r>
  <r>
    <n v="505"/>
    <s v="Jensen-Vargas"/>
    <s v="Ameliorated explicit parallelism"/>
    <n v="89900"/>
    <n v="12497"/>
    <n v="13.901001112347052"/>
    <x v="0"/>
    <n v="347"/>
    <n v="36.014409221902014"/>
    <x v="1"/>
    <s v="USD"/>
    <n v="1362722400"/>
    <n v="1366347600"/>
    <x v="475"/>
    <d v="2013-04-19T05:00:00"/>
    <n v="43"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78"/>
    <x v="1"/>
    <n v="2528"/>
    <n v="66.010284810126578"/>
    <x v="1"/>
    <s v="USD"/>
    <n v="1511416800"/>
    <n v="1512885600"/>
    <x v="81"/>
    <d v="2017-12-10T06:00:00"/>
    <n v="18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54"/>
    <x v="0"/>
    <n v="19"/>
    <n v="44.05263157894737"/>
    <x v="1"/>
    <s v="USD"/>
    <n v="1365483600"/>
    <n v="1369717200"/>
    <x v="476"/>
    <d v="2013-05-28T05:00:00"/>
    <n v="50"/>
    <b v="0"/>
    <b v="1"/>
    <s v="technology/web"/>
    <x v="2"/>
    <x v="2"/>
  </r>
  <r>
    <n v="508"/>
    <s v="Roberts Group"/>
    <s v="Up-sized radical pricing structure"/>
    <n v="172700"/>
    <n v="193820"/>
    <n v="112.22929936305732"/>
    <x v="1"/>
    <n v="3657"/>
    <n v="52.999726551818434"/>
    <x v="1"/>
    <s v="USD"/>
    <n v="1532840400"/>
    <n v="1534654800"/>
    <x v="192"/>
    <d v="2018-08-19T05:00:00"/>
    <n v="22"/>
    <b v="0"/>
    <b v="0"/>
    <s v="theater/plays"/>
    <x v="3"/>
    <x v="3"/>
  </r>
  <r>
    <n v="509"/>
    <s v="White LLC"/>
    <s v="Robust zero-defect project"/>
    <n v="168500"/>
    <n v="119510"/>
    <n v="70.925816023738875"/>
    <x v="0"/>
    <n v="1258"/>
    <n v="95"/>
    <x v="1"/>
    <s v="USD"/>
    <n v="1336194000"/>
    <n v="1337058000"/>
    <x v="477"/>
    <d v="2012-05-15T05:00:00"/>
    <n v="11"/>
    <b v="0"/>
    <b v="0"/>
    <s v="theater/plays"/>
    <x v="3"/>
    <x v="3"/>
  </r>
  <r>
    <n v="510"/>
    <s v="Best, Miller and Thomas"/>
    <s v="Re-engineered mobile task-force"/>
    <n v="7800"/>
    <n v="9289"/>
    <n v="119.08974358974359"/>
    <x v="1"/>
    <n v="131"/>
    <n v="70.908396946564892"/>
    <x v="2"/>
    <s v="AUD"/>
    <n v="1527742800"/>
    <n v="1529816400"/>
    <x v="478"/>
    <d v="2018-06-24T05:00:00"/>
    <n v="25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n v="362"/>
    <n v="98.060773480662988"/>
    <x v="1"/>
    <s v="USD"/>
    <n v="1564030800"/>
    <n v="1564894800"/>
    <x v="479"/>
    <d v="2019-08-04T05:00:00"/>
    <n v="11"/>
    <b v="0"/>
    <b v="0"/>
    <s v="theater/plays"/>
    <x v="3"/>
    <x v="3"/>
  </r>
  <r>
    <n v="512"/>
    <s v="Williams-Walsh"/>
    <s v="Organized explicit core"/>
    <n v="9100"/>
    <n v="12678"/>
    <n v="139.31868131868131"/>
    <x v="1"/>
    <n v="239"/>
    <n v="53.046025104602514"/>
    <x v="1"/>
    <s v="USD"/>
    <n v="1404536400"/>
    <n v="1404622800"/>
    <x v="480"/>
    <d v="2014-07-06T05:00:00"/>
    <n v="2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38"/>
    <x v="3"/>
    <n v="35"/>
    <n v="93.142857142857139"/>
    <x v="1"/>
    <s v="USD"/>
    <n v="1284008400"/>
    <n v="1284181200"/>
    <x v="180"/>
    <d v="2010-09-11T05:00:00"/>
    <n v="3"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086"/>
    <x v="3"/>
    <n v="528"/>
    <n v="58.945075757575758"/>
    <x v="5"/>
    <s v="CHF"/>
    <n v="1386309600"/>
    <n v="1386741600"/>
    <x v="481"/>
    <d v="2013-12-11T06:00:00"/>
    <n v="6"/>
    <b v="0"/>
    <b v="1"/>
    <s v="music/rock"/>
    <x v="1"/>
    <x v="1"/>
  </r>
  <r>
    <n v="515"/>
    <s v="Cox LLC"/>
    <s v="Phased 24hour flexibility"/>
    <n v="8600"/>
    <n v="4797"/>
    <n v="55.779069767441861"/>
    <x v="0"/>
    <n v="133"/>
    <n v="36.067669172932334"/>
    <x v="0"/>
    <s v="CAD"/>
    <n v="1324620000"/>
    <n v="1324792800"/>
    <x v="482"/>
    <d v="2011-12-25T06:00:00"/>
    <n v="3"/>
    <b v="0"/>
    <b v="1"/>
    <s v="theater/plays"/>
    <x v="3"/>
    <x v="3"/>
  </r>
  <r>
    <n v="516"/>
    <s v="Morales-Odonnell"/>
    <s v="Exclusive 5thgeneration structure"/>
    <n v="125400"/>
    <n v="53324"/>
    <n v="42.523125996810208"/>
    <x v="0"/>
    <n v="846"/>
    <n v="63.030732860520096"/>
    <x v="1"/>
    <s v="USD"/>
    <n v="1281070800"/>
    <n v="1284354000"/>
    <x v="194"/>
    <d v="2010-09-13T05:00:00"/>
    <n v="39"/>
    <b v="0"/>
    <b v="0"/>
    <s v="publishing/nonfiction"/>
    <x v="5"/>
    <x v="9"/>
  </r>
  <r>
    <n v="517"/>
    <s v="Ramirez LLC"/>
    <s v="Multi-tiered maximized orchestration"/>
    <n v="5900"/>
    <n v="6608"/>
    <n v="112"/>
    <x v="1"/>
    <n v="78"/>
    <n v="84.717948717948715"/>
    <x v="1"/>
    <s v="USD"/>
    <n v="1493960400"/>
    <n v="1494392400"/>
    <x v="483"/>
    <d v="2017-05-10T05:00:00"/>
    <n v="6"/>
    <b v="0"/>
    <b v="0"/>
    <s v="food/food trucks"/>
    <x v="0"/>
    <x v="0"/>
  </r>
  <r>
    <n v="518"/>
    <s v="Ramirez Group"/>
    <s v="Open-architected uniform instruction set"/>
    <n v="8800"/>
    <n v="622"/>
    <n v="7.0681818181818183"/>
    <x v="0"/>
    <n v="10"/>
    <n v="62.2"/>
    <x v="1"/>
    <s v="USD"/>
    <n v="1519365600"/>
    <n v="1519538400"/>
    <x v="484"/>
    <d v="2018-02-25T06:00:00"/>
    <n v="3"/>
    <b v="0"/>
    <b v="1"/>
    <s v="film &amp; video/animation"/>
    <x v="4"/>
    <x v="10"/>
  </r>
  <r>
    <n v="519"/>
    <s v="Marsh-Coleman"/>
    <s v="Exclusive asymmetric analyzer"/>
    <n v="177700"/>
    <n v="180802"/>
    <n v="101.74563871693866"/>
    <x v="1"/>
    <n v="1773"/>
    <n v="101.97518330513255"/>
    <x v="1"/>
    <s v="USD"/>
    <n v="1420696800"/>
    <n v="1421906400"/>
    <x v="355"/>
    <d v="2015-01-22T06:00:00"/>
    <n v="15"/>
    <b v="0"/>
    <b v="1"/>
    <s v="music/rock"/>
    <x v="1"/>
    <x v="1"/>
  </r>
  <r>
    <n v="520"/>
    <s v="Frederick, Jenkins and Collins"/>
    <s v="Organic radical collaboration"/>
    <n v="800"/>
    <n v="3406"/>
    <n v="425.75"/>
    <x v="1"/>
    <n v="32"/>
    <n v="106.4375"/>
    <x v="1"/>
    <s v="USD"/>
    <n v="1555650000"/>
    <n v="1555909200"/>
    <x v="485"/>
    <d v="2019-04-22T05:00:00"/>
    <n v="4"/>
    <b v="0"/>
    <b v="0"/>
    <s v="theater/plays"/>
    <x v="3"/>
    <x v="3"/>
  </r>
  <r>
    <n v="521"/>
    <s v="Wilson Ltd"/>
    <s v="Function-based multi-state software"/>
    <n v="7600"/>
    <n v="11061"/>
    <n v="145.53947368421052"/>
    <x v="1"/>
    <n v="369"/>
    <n v="29.975609756097562"/>
    <x v="1"/>
    <s v="USD"/>
    <n v="1471928400"/>
    <n v="1472446800"/>
    <x v="486"/>
    <d v="2016-08-29T05:00:00"/>
    <n v="7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n v="191"/>
    <n v="85.806282722513089"/>
    <x v="1"/>
    <s v="USD"/>
    <n v="1341291600"/>
    <n v="1342328400"/>
    <x v="487"/>
    <d v="2012-07-15T05:00:00"/>
    <n v="13"/>
    <b v="0"/>
    <b v="0"/>
    <s v="film &amp; video/shorts"/>
    <x v="4"/>
    <x v="12"/>
  </r>
  <r>
    <n v="523"/>
    <s v="Underwood, James and Jones"/>
    <s v="Triple-buffered holistic ability"/>
    <n v="900"/>
    <n v="6303"/>
    <n v="700.33333333333337"/>
    <x v="1"/>
    <n v="89"/>
    <n v="70.82022471910112"/>
    <x v="1"/>
    <s v="USD"/>
    <n v="1267682400"/>
    <n v="1268114400"/>
    <x v="488"/>
    <d v="2010-03-09T06:00:00"/>
    <n v="6"/>
    <b v="0"/>
    <b v="0"/>
    <s v="film &amp; video/shorts"/>
    <x v="4"/>
    <x v="12"/>
  </r>
  <r>
    <n v="524"/>
    <s v="Johnson-Contreras"/>
    <s v="Diverse scalable superstructure"/>
    <n v="96700"/>
    <n v="81136"/>
    <n v="83.904860392967947"/>
    <x v="0"/>
    <n v="1979"/>
    <n v="40.998484082870135"/>
    <x v="1"/>
    <s v="USD"/>
    <n v="1272258000"/>
    <n v="1273381200"/>
    <x v="489"/>
    <d v="2010-05-09T05:00:00"/>
    <n v="14"/>
    <b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n v="63"/>
    <n v="28.063492063492063"/>
    <x v="1"/>
    <s v="USD"/>
    <n v="1290492000"/>
    <n v="1290837600"/>
    <x v="490"/>
    <d v="2010-11-27T06:00:00"/>
    <n v="5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n v="147"/>
    <n v="88.054421768707485"/>
    <x v="1"/>
    <s v="USD"/>
    <n v="1451109600"/>
    <n v="1454306400"/>
    <x v="312"/>
    <d v="2016-02-01T06:00:00"/>
    <n v="38"/>
    <b v="0"/>
    <b v="1"/>
    <s v="theater/plays"/>
    <x v="3"/>
    <x v="3"/>
  </r>
  <r>
    <n v="527"/>
    <s v="Rosario-Smith"/>
    <s v="Enterprise-wide intermediate portal"/>
    <n v="189200"/>
    <n v="188480"/>
    <n v="99.619450317124731"/>
    <x v="0"/>
    <n v="6080"/>
    <n v="31"/>
    <x v="0"/>
    <s v="CAD"/>
    <n v="1454652000"/>
    <n v="1457762400"/>
    <x v="491"/>
    <d v="2016-03-12T06:00:00"/>
    <n v="37"/>
    <b v="0"/>
    <b v="0"/>
    <s v="film &amp; video/animation"/>
    <x v="4"/>
    <x v="10"/>
  </r>
  <r>
    <n v="528"/>
    <s v="Avila, Ford and Welch"/>
    <s v="Focused leadingedge matrix"/>
    <n v="9000"/>
    <n v="7227"/>
    <n v="80.3"/>
    <x v="0"/>
    <n v="80"/>
    <n v="90.337500000000006"/>
    <x v="4"/>
    <s v="GBP"/>
    <n v="1385186400"/>
    <n v="1389074400"/>
    <x v="492"/>
    <d v="2014-01-07T06:00:00"/>
    <n v="46"/>
    <b v="0"/>
    <b v="0"/>
    <s v="music/indie rock"/>
    <x v="1"/>
    <x v="7"/>
  </r>
  <r>
    <n v="529"/>
    <s v="Gallegos Inc"/>
    <s v="Seamless logistical encryption"/>
    <n v="5100"/>
    <n v="574"/>
    <n v="11.254901960784315"/>
    <x v="0"/>
    <n v="9"/>
    <n v="63.777777777777779"/>
    <x v="1"/>
    <s v="USD"/>
    <n v="1399698000"/>
    <n v="1402117200"/>
    <x v="493"/>
    <d v="2014-06-07T05:00:00"/>
    <n v="29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n v="1784"/>
    <n v="53.995515695067262"/>
    <x v="1"/>
    <s v="USD"/>
    <n v="1283230800"/>
    <n v="1284440400"/>
    <x v="494"/>
    <d v="2010-09-14T05:00:00"/>
    <n v="15"/>
    <b v="0"/>
    <b v="1"/>
    <s v="publishing/fiction"/>
    <x v="5"/>
    <x v="13"/>
  </r>
  <r>
    <n v="531"/>
    <s v="Berry-Richardson"/>
    <s v="Automated zero tolerance implementation"/>
    <n v="186700"/>
    <n v="178338"/>
    <n v="95.521156936261377"/>
    <x v="2"/>
    <n v="3640"/>
    <n v="48.993956043956047"/>
    <x v="5"/>
    <s v="CHF"/>
    <n v="1384149600"/>
    <n v="1388988000"/>
    <x v="495"/>
    <d v="2014-01-06T06:00:00"/>
    <n v="57"/>
    <b v="0"/>
    <b v="0"/>
    <s v="games/video games"/>
    <x v="6"/>
    <x v="11"/>
  </r>
  <r>
    <n v="532"/>
    <s v="Cordova-Torres"/>
    <s v="Pre-emptive grid-enabled contingency"/>
    <n v="1600"/>
    <n v="8046"/>
    <n v="502.875"/>
    <x v="1"/>
    <n v="126"/>
    <n v="63.857142857142854"/>
    <x v="0"/>
    <s v="CAD"/>
    <n v="1516860000"/>
    <n v="1516946400"/>
    <x v="496"/>
    <d v="2018-01-26T06:00:00"/>
    <n v="2"/>
    <b v="0"/>
    <b v="0"/>
    <s v="theater/plays"/>
    <x v="3"/>
    <x v="3"/>
  </r>
  <r>
    <n v="533"/>
    <s v="Holt, Bernard and Johnson"/>
    <s v="Multi-lateral didactic encoding"/>
    <n v="115600"/>
    <n v="184086"/>
    <n v="159.24394463667821"/>
    <x v="1"/>
    <n v="2218"/>
    <n v="82.996393146979258"/>
    <x v="4"/>
    <s v="GBP"/>
    <n v="1374642000"/>
    <n v="1377752400"/>
    <x v="497"/>
    <d v="2013-08-29T05:00:00"/>
    <n v="37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n v="243"/>
    <n v="55.08230452674897"/>
    <x v="1"/>
    <s v="USD"/>
    <n v="1534482000"/>
    <n v="1534568400"/>
    <x v="498"/>
    <d v="2018-08-18T05:00:00"/>
    <n v="2"/>
    <b v="0"/>
    <b v="1"/>
    <s v="film &amp; video/drama"/>
    <x v="4"/>
    <x v="6"/>
  </r>
  <r>
    <n v="535"/>
    <s v="Garrison LLC"/>
    <s v="Profit-focused 24/7 data-warehouse"/>
    <n v="2600"/>
    <n v="12533"/>
    <n v="482.03846153846155"/>
    <x v="1"/>
    <n v="202"/>
    <n v="62.044554455445542"/>
    <x v="6"/>
    <s v="EUR"/>
    <n v="1528434000"/>
    <n v="1528606800"/>
    <x v="499"/>
    <d v="2018-06-10T05:00:00"/>
    <n v="3"/>
    <b v="0"/>
    <b v="1"/>
    <s v="theater/plays"/>
    <x v="3"/>
    <x v="3"/>
  </r>
  <r>
    <n v="536"/>
    <s v="Shannon-Olson"/>
    <s v="Enhanced methodical middleware"/>
    <n v="9800"/>
    <n v="14697"/>
    <n v="149.96938775510205"/>
    <x v="1"/>
    <n v="140"/>
    <n v="104.97857142857143"/>
    <x v="6"/>
    <s v="EUR"/>
    <n v="1282626000"/>
    <n v="1284872400"/>
    <x v="500"/>
    <d v="2010-09-19T05:00:00"/>
    <n v="27"/>
    <b v="0"/>
    <b v="0"/>
    <s v="publishing/fiction"/>
    <x v="5"/>
    <x v="13"/>
  </r>
  <r>
    <n v="537"/>
    <s v="Murillo-Mcfarland"/>
    <s v="Synchronized client-driven projection"/>
    <n v="84400"/>
    <n v="98935"/>
    <n v="117.22156398104265"/>
    <x v="1"/>
    <n v="1052"/>
    <n v="94.044676806083643"/>
    <x v="3"/>
    <s v="DKK"/>
    <n v="1535605200"/>
    <n v="1537592400"/>
    <x v="501"/>
    <d v="2018-09-22T05:00:00"/>
    <n v="24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n v="1296"/>
    <n v="44.007716049382715"/>
    <x v="1"/>
    <s v="USD"/>
    <n v="1379826000"/>
    <n v="1381208400"/>
    <x v="502"/>
    <d v="2013-10-08T05:00:00"/>
    <n v="17"/>
    <b v="0"/>
    <b v="0"/>
    <s v="games/mobile games"/>
    <x v="6"/>
    <x v="20"/>
  </r>
  <r>
    <n v="539"/>
    <s v="Thomas, Welch and Santana"/>
    <s v="Assimilated exuding toolset"/>
    <n v="9800"/>
    <n v="7120"/>
    <n v="72.65306122448979"/>
    <x v="0"/>
    <n v="77"/>
    <n v="92.467532467532465"/>
    <x v="1"/>
    <s v="USD"/>
    <n v="1561957200"/>
    <n v="1562475600"/>
    <x v="503"/>
    <d v="2019-07-07T05:00:00"/>
    <n v="7"/>
    <b v="0"/>
    <b v="1"/>
    <s v="food/food trucks"/>
    <x v="0"/>
    <x v="0"/>
  </r>
  <r>
    <n v="540"/>
    <s v="Brown-Pena"/>
    <s v="Front-line client-server secured line"/>
    <n v="5300"/>
    <n v="14097"/>
    <n v="265.98113207547169"/>
    <x v="1"/>
    <n v="247"/>
    <n v="57.072874493927124"/>
    <x v="1"/>
    <s v="USD"/>
    <n v="1525496400"/>
    <n v="1527397200"/>
    <x v="504"/>
    <d v="2018-05-27T05:00:00"/>
    <n v="23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n v="395"/>
    <n v="109.07848101265823"/>
    <x v="6"/>
    <s v="EUR"/>
    <n v="1433912400"/>
    <n v="1436158800"/>
    <x v="505"/>
    <d v="2015-07-06T05:00:00"/>
    <n v="27"/>
    <b v="0"/>
    <b v="0"/>
    <s v="games/mobile games"/>
    <x v="6"/>
    <x v="20"/>
  </r>
  <r>
    <n v="542"/>
    <s v="Harrison-Bridges"/>
    <s v="Profit-focused exuding moderator"/>
    <n v="77000"/>
    <n v="1930"/>
    <n v="2.5064935064935066"/>
    <x v="0"/>
    <n v="49"/>
    <n v="39.387755102040813"/>
    <x v="4"/>
    <s v="GBP"/>
    <n v="1453442400"/>
    <n v="1456034400"/>
    <x v="506"/>
    <d v="2016-02-21T06:00:00"/>
    <n v="31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n v="180"/>
    <n v="77.022222222222226"/>
    <x v="1"/>
    <s v="USD"/>
    <n v="1378875600"/>
    <n v="1380171600"/>
    <x v="507"/>
    <d v="2013-09-26T05:00:00"/>
    <n v="16"/>
    <b v="0"/>
    <b v="0"/>
    <s v="games/video games"/>
    <x v="6"/>
    <x v="11"/>
  </r>
  <r>
    <n v="544"/>
    <s v="Taylor Inc"/>
    <s v="Public-key 3rdgeneration system engine"/>
    <n v="2800"/>
    <n v="7742"/>
    <n v="276.5"/>
    <x v="1"/>
    <n v="84"/>
    <n v="92.166666666666671"/>
    <x v="1"/>
    <s v="USD"/>
    <n v="1452232800"/>
    <n v="1453356000"/>
    <x v="508"/>
    <d v="2016-01-21T06:00:00"/>
    <n v="14"/>
    <b v="0"/>
    <b v="0"/>
    <s v="music/rock"/>
    <x v="1"/>
    <x v="1"/>
  </r>
  <r>
    <n v="545"/>
    <s v="Deleon and Sons"/>
    <s v="Organized value-added access"/>
    <n v="184800"/>
    <n v="164109"/>
    <n v="88.803571428571431"/>
    <x v="0"/>
    <n v="2690"/>
    <n v="61.007063197026021"/>
    <x v="1"/>
    <s v="USD"/>
    <n v="1577253600"/>
    <n v="1578981600"/>
    <x v="509"/>
    <d v="2020-01-14T06:00:00"/>
    <n v="21"/>
    <b v="0"/>
    <b v="0"/>
    <s v="theater/plays"/>
    <x v="3"/>
    <x v="3"/>
  </r>
  <r>
    <n v="546"/>
    <s v="Benjamin, Paul and Ferguson"/>
    <s v="Cloned global Graphical User Interface"/>
    <n v="4200"/>
    <n v="6870"/>
    <n v="163.57142857142858"/>
    <x v="1"/>
    <n v="88"/>
    <n v="78.068181818181813"/>
    <x v="1"/>
    <s v="USD"/>
    <n v="1537160400"/>
    <n v="1537419600"/>
    <x v="510"/>
    <d v="2018-09-20T05:00:00"/>
    <n v="4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x v="511"/>
    <d v="2015-02-06T06:00:00"/>
    <n v="13"/>
    <b v="0"/>
    <b v="0"/>
    <s v="film &amp; video/drama"/>
    <x v="4"/>
    <x v="6"/>
  </r>
  <r>
    <n v="548"/>
    <s v="York-Pitts"/>
    <s v="Monitored discrete toolset"/>
    <n v="66100"/>
    <n v="179074"/>
    <n v="270.91376701966715"/>
    <x v="1"/>
    <n v="2985"/>
    <n v="59.991289782244557"/>
    <x v="1"/>
    <s v="USD"/>
    <n v="1459486800"/>
    <n v="1460610000"/>
    <x v="512"/>
    <d v="2016-04-14T05:00:00"/>
    <n v="14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n v="762"/>
    <n v="110.03018372703411"/>
    <x v="1"/>
    <s v="USD"/>
    <n v="1369717200"/>
    <n v="1370494800"/>
    <x v="513"/>
    <d v="2013-06-06T05:00:00"/>
    <n v="1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x v="514"/>
    <d v="2012-03-21T05:00:00"/>
    <n v="22"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n v="2779"/>
    <n v="37.99856063332134"/>
    <x v="2"/>
    <s v="AUD"/>
    <n v="1419055200"/>
    <n v="1422511200"/>
    <x v="515"/>
    <d v="2015-01-29T06:00:00"/>
    <n v="41"/>
    <b v="0"/>
    <b v="1"/>
    <s v="technology/web"/>
    <x v="2"/>
    <x v="2"/>
  </r>
  <r>
    <n v="552"/>
    <s v="Mercer, Solomon and Singleton"/>
    <s v="Distributed human-resource policy"/>
    <n v="9000"/>
    <n v="8866"/>
    <n v="98.511111111111106"/>
    <x v="0"/>
    <n v="92"/>
    <n v="96.369565217391298"/>
    <x v="1"/>
    <s v="USD"/>
    <n v="1480140000"/>
    <n v="1480312800"/>
    <x v="516"/>
    <d v="2016-11-28T06:00:00"/>
    <n v="3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s v="USD"/>
    <n v="1293948000"/>
    <n v="1294034400"/>
    <x v="517"/>
    <d v="2011-01-03T06:00:00"/>
    <n v="2"/>
    <b v="0"/>
    <b v="0"/>
    <s v="music/rock"/>
    <x v="1"/>
    <x v="1"/>
  </r>
  <r>
    <n v="554"/>
    <s v="Ritter PLC"/>
    <s v="Multi-channeled upward-trending application"/>
    <n v="9500"/>
    <n v="14408"/>
    <n v="151.66315789473686"/>
    <x v="1"/>
    <n v="554"/>
    <n v="26.007220216606498"/>
    <x v="0"/>
    <s v="CAD"/>
    <n v="1482127200"/>
    <n v="1482645600"/>
    <x v="518"/>
    <d v="2016-12-25T06:00:00"/>
    <n v="7"/>
    <b v="0"/>
    <b v="0"/>
    <s v="music/indie rock"/>
    <x v="1"/>
    <x v="7"/>
  </r>
  <r>
    <n v="555"/>
    <s v="Anderson Group"/>
    <s v="Organic maximized database"/>
    <n v="6300"/>
    <n v="14089"/>
    <n v="223.63492063492063"/>
    <x v="1"/>
    <n v="135"/>
    <n v="104.36296296296297"/>
    <x v="3"/>
    <s v="DKK"/>
    <n v="1396414800"/>
    <n v="1399093200"/>
    <x v="519"/>
    <d v="2014-05-03T05:00:00"/>
    <n v="32"/>
    <b v="0"/>
    <b v="0"/>
    <s v="music/rock"/>
    <x v="1"/>
    <x v="1"/>
  </r>
  <r>
    <n v="556"/>
    <s v="Smith and Sons"/>
    <s v="Grass-roots 24/7 attitude"/>
    <n v="5200"/>
    <n v="12467"/>
    <n v="239.75"/>
    <x v="1"/>
    <n v="122"/>
    <n v="102.18852459016394"/>
    <x v="1"/>
    <s v="USD"/>
    <n v="1315285200"/>
    <n v="1315890000"/>
    <x v="520"/>
    <d v="2011-09-13T05:00:00"/>
    <n v="8"/>
    <b v="0"/>
    <b v="1"/>
    <s v="publishing/translations"/>
    <x v="5"/>
    <x v="18"/>
  </r>
  <r>
    <n v="557"/>
    <s v="Lam-Hamilton"/>
    <s v="Team-oriented global strategy"/>
    <n v="6000"/>
    <n v="11960"/>
    <n v="199.33333333333334"/>
    <x v="1"/>
    <n v="221"/>
    <n v="54.117647058823529"/>
    <x v="1"/>
    <s v="USD"/>
    <n v="1443762000"/>
    <n v="1444021200"/>
    <x v="521"/>
    <d v="2015-10-05T05:00:00"/>
    <n v="4"/>
    <b v="0"/>
    <b v="1"/>
    <s v="film &amp; video/science fiction"/>
    <x v="4"/>
    <x v="22"/>
  </r>
  <r>
    <n v="558"/>
    <s v="Ho Ltd"/>
    <s v="Enhanced client-driven capacity"/>
    <n v="5800"/>
    <n v="7966"/>
    <n v="137.34482758620689"/>
    <x v="1"/>
    <n v="126"/>
    <n v="63.222222222222221"/>
    <x v="1"/>
    <s v="USD"/>
    <n v="1456293600"/>
    <n v="1460005200"/>
    <x v="522"/>
    <d v="2016-04-07T05:00:00"/>
    <n v="44"/>
    <b v="0"/>
    <b v="0"/>
    <s v="theater/plays"/>
    <x v="3"/>
    <x v="3"/>
  </r>
  <r>
    <n v="559"/>
    <s v="Brown, Estrada and Jensen"/>
    <s v="Exclusive systematic productivity"/>
    <n v="105300"/>
    <n v="106321"/>
    <n v="100.96961063627731"/>
    <x v="1"/>
    <n v="1022"/>
    <n v="104.03228962818004"/>
    <x v="1"/>
    <s v="USD"/>
    <n v="1470114000"/>
    <n v="1470718800"/>
    <x v="523"/>
    <d v="2016-08-09T05:00:00"/>
    <n v="8"/>
    <b v="0"/>
    <b v="0"/>
    <s v="theater/plays"/>
    <x v="3"/>
    <x v="3"/>
  </r>
  <r>
    <n v="560"/>
    <s v="Hunt LLC"/>
    <s v="Re-engineered radical policy"/>
    <n v="20000"/>
    <n v="158832"/>
    <n v="794.16"/>
    <x v="1"/>
    <n v="3177"/>
    <n v="49.994334277620396"/>
    <x v="1"/>
    <s v="USD"/>
    <n v="1321596000"/>
    <n v="1325052000"/>
    <x v="524"/>
    <d v="2011-12-28T06:00:00"/>
    <n v="41"/>
    <b v="0"/>
    <b v="0"/>
    <s v="film &amp; video/animation"/>
    <x v="4"/>
    <x v="10"/>
  </r>
  <r>
    <n v="561"/>
    <s v="Fowler-Smith"/>
    <s v="Down-sized logistical adapter"/>
    <n v="3000"/>
    <n v="11091"/>
    <n v="369.7"/>
    <x v="1"/>
    <n v="198"/>
    <n v="56.015151515151516"/>
    <x v="5"/>
    <s v="CHF"/>
    <n v="1318827600"/>
    <n v="1319000400"/>
    <x v="525"/>
    <d v="2011-10-19T05:00:00"/>
    <n v="3"/>
    <b v="0"/>
    <b v="0"/>
    <s v="theater/plays"/>
    <x v="3"/>
    <x v="3"/>
  </r>
  <r>
    <n v="562"/>
    <s v="Blair Inc"/>
    <s v="Configurable bandwidth-monitored throughput"/>
    <n v="9900"/>
    <n v="1269"/>
    <n v="12.818181818181818"/>
    <x v="0"/>
    <n v="26"/>
    <n v="48.807692307692307"/>
    <x v="5"/>
    <s v="CHF"/>
    <n v="1552366800"/>
    <n v="1552539600"/>
    <x v="188"/>
    <d v="2019-03-14T05:00:00"/>
    <n v="3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n v="85"/>
    <n v="60.082352941176474"/>
    <x v="2"/>
    <s v="AUD"/>
    <n v="1542088800"/>
    <n v="1543816800"/>
    <x v="526"/>
    <d v="2018-12-03T06:00:00"/>
    <n v="21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n v="1790"/>
    <n v="78.990502793296088"/>
    <x v="1"/>
    <s v="USD"/>
    <n v="1426395600"/>
    <n v="1427086800"/>
    <x v="527"/>
    <d v="2015-03-23T05:00:00"/>
    <n v="9"/>
    <b v="0"/>
    <b v="0"/>
    <s v="theater/plays"/>
    <x v="3"/>
    <x v="3"/>
  </r>
  <r>
    <n v="565"/>
    <s v="Joseph LLC"/>
    <s v="Decentralized logistical collaboration"/>
    <n v="94900"/>
    <n v="194166"/>
    <n v="204.60063224446787"/>
    <x v="1"/>
    <n v="3596"/>
    <n v="53.99499443826474"/>
    <x v="1"/>
    <s v="USD"/>
    <n v="1321336800"/>
    <n v="1323064800"/>
    <x v="528"/>
    <d v="2011-12-05T06:00:00"/>
    <n v="21"/>
    <b v="0"/>
    <b v="0"/>
    <s v="theater/plays"/>
    <x v="3"/>
    <x v="3"/>
  </r>
  <r>
    <n v="566"/>
    <s v="Webb-Smith"/>
    <s v="Advanced content-based installation"/>
    <n v="9300"/>
    <n v="4124"/>
    <n v="44.344086021505376"/>
    <x v="0"/>
    <n v="37"/>
    <n v="111.45945945945945"/>
    <x v="1"/>
    <s v="USD"/>
    <n v="1456293600"/>
    <n v="1458277200"/>
    <x v="522"/>
    <d v="2016-03-18T05:00:00"/>
    <n v="24"/>
    <b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n v="244"/>
    <n v="60.922131147540981"/>
    <x v="1"/>
    <s v="USD"/>
    <n v="1404968400"/>
    <n v="1405141200"/>
    <x v="529"/>
    <d v="2014-07-12T05:00:00"/>
    <n v="3"/>
    <b v="0"/>
    <b v="0"/>
    <s v="music/rock"/>
    <x v="1"/>
    <x v="1"/>
  </r>
  <r>
    <n v="568"/>
    <s v="Hardin-Foley"/>
    <s v="Synergized zero tolerance help-desk"/>
    <n v="72400"/>
    <n v="134688"/>
    <n v="186.03314917127071"/>
    <x v="1"/>
    <n v="5180"/>
    <n v="26.0015444015444"/>
    <x v="1"/>
    <s v="USD"/>
    <n v="1279170000"/>
    <n v="1283058000"/>
    <x v="530"/>
    <d v="2010-08-29T05:00:00"/>
    <n v="46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n v="589"/>
    <n v="80.993208828522924"/>
    <x v="6"/>
    <s v="EUR"/>
    <n v="1294725600"/>
    <n v="1295762400"/>
    <x v="531"/>
    <d v="2011-01-23T06:00:00"/>
    <n v="13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n v="2725"/>
    <n v="34.995963302752294"/>
    <x v="1"/>
    <s v="USD"/>
    <n v="1419055200"/>
    <n v="1419573600"/>
    <x v="515"/>
    <d v="2014-12-26T06:00:00"/>
    <n v="7"/>
    <b v="0"/>
    <b v="1"/>
    <s v="music/rock"/>
    <x v="1"/>
    <x v="1"/>
  </r>
  <r>
    <n v="571"/>
    <s v="Wilson and Sons"/>
    <s v="Monitored grid-enabled model"/>
    <n v="3500"/>
    <n v="3295"/>
    <n v="94.142857142857139"/>
    <x v="0"/>
    <n v="35"/>
    <n v="94.142857142857139"/>
    <x v="6"/>
    <s v="EUR"/>
    <n v="1434690000"/>
    <n v="1438750800"/>
    <x v="532"/>
    <d v="2015-08-05T05:00:00"/>
    <n v="48"/>
    <b v="0"/>
    <b v="0"/>
    <s v="film &amp; video/shorts"/>
    <x v="4"/>
    <x v="12"/>
  </r>
  <r>
    <n v="572"/>
    <s v="Clements Group"/>
    <s v="Assimilated actuating policy"/>
    <n v="9000"/>
    <n v="4896"/>
    <n v="54.4"/>
    <x v="3"/>
    <n v="94"/>
    <n v="52.085106382978722"/>
    <x v="1"/>
    <s v="USD"/>
    <n v="1443416400"/>
    <n v="1444798800"/>
    <x v="533"/>
    <d v="2015-10-14T05:00:00"/>
    <n v="17"/>
    <b v="0"/>
    <b v="1"/>
    <s v="music/rock"/>
    <x v="1"/>
    <x v="1"/>
  </r>
  <r>
    <n v="573"/>
    <s v="Valenzuela-Cook"/>
    <s v="Total incremental productivity"/>
    <n v="6700"/>
    <n v="7496"/>
    <n v="111.88059701492537"/>
    <x v="1"/>
    <n v="300"/>
    <n v="24.986666666666668"/>
    <x v="1"/>
    <s v="USD"/>
    <n v="1399006800"/>
    <n v="1399179600"/>
    <x v="409"/>
    <d v="2014-05-04T05:00:00"/>
    <n v="3"/>
    <b v="0"/>
    <b v="0"/>
    <s v="journalism/audio"/>
    <x v="8"/>
    <x v="23"/>
  </r>
  <r>
    <n v="574"/>
    <s v="Parker, Haley and Foster"/>
    <s v="Adaptive local task-force"/>
    <n v="2700"/>
    <n v="9967"/>
    <n v="369.14814814814815"/>
    <x v="1"/>
    <n v="144"/>
    <n v="69.215277777777771"/>
    <x v="1"/>
    <s v="USD"/>
    <n v="1575698400"/>
    <n v="1576562400"/>
    <x v="534"/>
    <d v="2019-12-17T06:00:00"/>
    <n v="11"/>
    <b v="0"/>
    <b v="1"/>
    <s v="food/food trucks"/>
    <x v="0"/>
    <x v="0"/>
  </r>
  <r>
    <n v="575"/>
    <s v="Fuentes LLC"/>
    <s v="Universal zero-defect concept"/>
    <n v="83300"/>
    <n v="52421"/>
    <n v="62.930372148859547"/>
    <x v="0"/>
    <n v="558"/>
    <n v="93.944444444444443"/>
    <x v="1"/>
    <s v="USD"/>
    <n v="1400562000"/>
    <n v="1400821200"/>
    <x v="53"/>
    <d v="2014-05-23T05:00:00"/>
    <n v="4"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n v="64"/>
    <n v="98.40625"/>
    <x v="1"/>
    <s v="USD"/>
    <n v="1509512400"/>
    <n v="1510984800"/>
    <x v="535"/>
    <d v="2017-11-18T06:00:00"/>
    <n v="18"/>
    <b v="0"/>
    <b v="0"/>
    <s v="theater/plays"/>
    <x v="3"/>
    <x v="3"/>
  </r>
  <r>
    <n v="577"/>
    <s v="Stevens Inc"/>
    <s v="Adaptive 24hour projection"/>
    <n v="8200"/>
    <n v="1546"/>
    <n v="18.853658536585368"/>
    <x v="3"/>
    <n v="37"/>
    <n v="41.783783783783782"/>
    <x v="1"/>
    <s v="USD"/>
    <n v="1299823200"/>
    <n v="1302066000"/>
    <x v="536"/>
    <d v="2011-04-06T05:00:00"/>
    <n v="27"/>
    <b v="0"/>
    <b v="0"/>
    <s v="music/jazz"/>
    <x v="1"/>
    <x v="17"/>
  </r>
  <r>
    <n v="578"/>
    <s v="Martinez-Johnson"/>
    <s v="Sharable radical toolset"/>
    <n v="96500"/>
    <n v="16168"/>
    <n v="16.754404145077721"/>
    <x v="0"/>
    <n v="245"/>
    <n v="65.991836734693877"/>
    <x v="1"/>
    <s v="USD"/>
    <n v="1322719200"/>
    <n v="1322978400"/>
    <x v="537"/>
    <d v="2011-12-04T06:00:00"/>
    <n v="4"/>
    <b v="0"/>
    <b v="0"/>
    <s v="film &amp; video/science fiction"/>
    <x v="4"/>
    <x v="22"/>
  </r>
  <r>
    <n v="579"/>
    <s v="Franklin Inc"/>
    <s v="Focused multimedia knowledgebase"/>
    <n v="6200"/>
    <n v="6269"/>
    <n v="101.11290322580645"/>
    <x v="1"/>
    <n v="87"/>
    <n v="72.05747126436782"/>
    <x v="1"/>
    <s v="USD"/>
    <n v="1312693200"/>
    <n v="1313730000"/>
    <x v="538"/>
    <d v="2011-08-19T05:00:00"/>
    <n v="13"/>
    <b v="0"/>
    <b v="0"/>
    <s v="music/jazz"/>
    <x v="1"/>
    <x v="17"/>
  </r>
  <r>
    <n v="580"/>
    <s v="Perez PLC"/>
    <s v="Seamless 6thgeneration extranet"/>
    <n v="43800"/>
    <n v="149578"/>
    <n v="341.50228310502285"/>
    <x v="1"/>
    <n v="3116"/>
    <n v="48.003209242618745"/>
    <x v="1"/>
    <s v="USD"/>
    <n v="1393394400"/>
    <n v="1394085600"/>
    <x v="539"/>
    <d v="2014-03-06T06:00:00"/>
    <n v="9"/>
    <b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n v="71"/>
    <n v="54.098591549295776"/>
    <x v="1"/>
    <s v="USD"/>
    <n v="1304053200"/>
    <n v="1305349200"/>
    <x v="540"/>
    <d v="2011-05-14T05:00:00"/>
    <n v="16"/>
    <b v="0"/>
    <b v="0"/>
    <s v="technology/web"/>
    <x v="2"/>
    <x v="2"/>
  </r>
  <r>
    <n v="582"/>
    <s v="Pineda Ltd"/>
    <s v="Cross-group global system engine"/>
    <n v="8700"/>
    <n v="4531"/>
    <n v="52.080459770114942"/>
    <x v="0"/>
    <n v="42"/>
    <n v="107.88095238095238"/>
    <x v="1"/>
    <s v="USD"/>
    <n v="1433912400"/>
    <n v="1434344400"/>
    <x v="505"/>
    <d v="2015-06-15T05:00:00"/>
    <n v="6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n v="909"/>
    <n v="67.034103410341032"/>
    <x v="1"/>
    <s v="USD"/>
    <n v="1329717600"/>
    <n v="1331186400"/>
    <x v="541"/>
    <d v="2012-03-08T06:00:00"/>
    <n v="18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5"/>
    <x v="1"/>
    <n v="1613"/>
    <n v="64.01425914445133"/>
    <x v="1"/>
    <s v="USD"/>
    <n v="1335330000"/>
    <n v="1336539600"/>
    <x v="542"/>
    <d v="2012-05-09T05:00:00"/>
    <n v="15"/>
    <b v="0"/>
    <b v="0"/>
    <s v="technology/web"/>
    <x v="2"/>
    <x v="2"/>
  </r>
  <r>
    <n v="585"/>
    <s v="Pugh LLC"/>
    <s v="Reactive analyzing function"/>
    <n v="8900"/>
    <n v="13065"/>
    <n v="146.79775280898878"/>
    <x v="1"/>
    <n v="136"/>
    <n v="96.066176470588232"/>
    <x v="1"/>
    <s v="USD"/>
    <n v="1268888400"/>
    <n v="1269752400"/>
    <x v="543"/>
    <d v="2010-03-28T05:00:00"/>
    <n v="11"/>
    <b v="0"/>
    <b v="0"/>
    <s v="publishing/translations"/>
    <x v="5"/>
    <x v="18"/>
  </r>
  <r>
    <n v="586"/>
    <s v="Rowe-Wong"/>
    <s v="Robust hybrid budgetary management"/>
    <n v="700"/>
    <n v="6654"/>
    <n v="950.57142857142856"/>
    <x v="1"/>
    <n v="130"/>
    <n v="51.184615384615384"/>
    <x v="1"/>
    <s v="USD"/>
    <n v="1289973600"/>
    <n v="1291615200"/>
    <x v="544"/>
    <d v="2010-12-06T06:00:00"/>
    <n v="20"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n v="156"/>
    <n v="43.92307692307692"/>
    <x v="0"/>
    <s v="CAD"/>
    <n v="1547877600"/>
    <n v="1552366800"/>
    <x v="35"/>
    <d v="2019-03-12T05:00:00"/>
    <n v="53"/>
    <b v="0"/>
    <b v="1"/>
    <s v="food/food trucks"/>
    <x v="0"/>
    <x v="0"/>
  </r>
  <r>
    <n v="588"/>
    <s v="Weber Inc"/>
    <s v="Up-sized discrete firmware"/>
    <n v="157600"/>
    <n v="124517"/>
    <n v="79.008248730964468"/>
    <x v="0"/>
    <n v="1368"/>
    <n v="91.021198830409361"/>
    <x v="4"/>
    <s v="GBP"/>
    <n v="1269493200"/>
    <n v="1272171600"/>
    <x v="152"/>
    <d v="2010-04-25T05:00:00"/>
    <n v="32"/>
    <b v="0"/>
    <b v="0"/>
    <s v="theater/plays"/>
    <x v="3"/>
    <x v="3"/>
  </r>
  <r>
    <n v="589"/>
    <s v="Avery, Brown and Parker"/>
    <s v="Exclusive intangible extranet"/>
    <n v="7900"/>
    <n v="5113"/>
    <n v="64.721518987341767"/>
    <x v="0"/>
    <n v="102"/>
    <n v="50.127450980392155"/>
    <x v="1"/>
    <s v="USD"/>
    <n v="1436072400"/>
    <n v="1436677200"/>
    <x v="545"/>
    <d v="2015-07-12T05:00:00"/>
    <n v="8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n v="86"/>
    <n v="67.720930232558146"/>
    <x v="2"/>
    <s v="AUD"/>
    <n v="1419141600"/>
    <n v="1420092000"/>
    <x v="546"/>
    <d v="2015-01-01T06:00:00"/>
    <n v="12"/>
    <b v="0"/>
    <b v="0"/>
    <s v="publishing/radio &amp; podcasts"/>
    <x v="5"/>
    <x v="15"/>
  </r>
  <r>
    <n v="591"/>
    <s v="Jensen LLC"/>
    <s v="Realigned dedicated system engine"/>
    <n v="600"/>
    <n v="6226"/>
    <n v="1037.6666666666667"/>
    <x v="1"/>
    <n v="102"/>
    <n v="61.03921568627451"/>
    <x v="1"/>
    <s v="USD"/>
    <n v="1279083600"/>
    <n v="1279947600"/>
    <x v="547"/>
    <d v="2010-07-24T05:00:00"/>
    <n v="11"/>
    <b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n v="253"/>
    <n v="80.011857707509876"/>
    <x v="1"/>
    <s v="USD"/>
    <n v="1401426000"/>
    <n v="1402203600"/>
    <x v="548"/>
    <d v="2014-06-08T05:00:00"/>
    <n v="10"/>
    <b v="0"/>
    <b v="0"/>
    <s v="theater/plays"/>
    <x v="3"/>
    <x v="3"/>
  </r>
  <r>
    <n v="593"/>
    <s v="Hale-Hayes"/>
    <s v="Ameliorated client-driven open system"/>
    <n v="121600"/>
    <n v="188288"/>
    <n v="154.84210526315789"/>
    <x v="1"/>
    <n v="4006"/>
    <n v="47.001497753369947"/>
    <x v="1"/>
    <s v="USD"/>
    <n v="1395810000"/>
    <n v="1396933200"/>
    <x v="549"/>
    <d v="2014-04-08T05:00:00"/>
    <n v="14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79"/>
    <x v="0"/>
    <n v="157"/>
    <n v="71.127388535031841"/>
    <x v="1"/>
    <s v="USD"/>
    <n v="1467003600"/>
    <n v="1467262800"/>
    <x v="550"/>
    <d v="2016-06-30T05:00:00"/>
    <n v="4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n v="1629"/>
    <n v="89.99079189686924"/>
    <x v="1"/>
    <s v="USD"/>
    <n v="1268715600"/>
    <n v="1270530000"/>
    <x v="551"/>
    <d v="2010-04-06T05:00:00"/>
    <n v="22"/>
    <b v="0"/>
    <b v="1"/>
    <s v="theater/plays"/>
    <x v="3"/>
    <x v="3"/>
  </r>
  <r>
    <n v="596"/>
    <s v="Becker-Scott"/>
    <s v="Managed optimizing archive"/>
    <n v="7900"/>
    <n v="7875"/>
    <n v="99.683544303797461"/>
    <x v="0"/>
    <n v="183"/>
    <n v="43.032786885245905"/>
    <x v="1"/>
    <s v="USD"/>
    <n v="1457157600"/>
    <n v="1457762400"/>
    <x v="552"/>
    <d v="2016-03-12T06:00:00"/>
    <n v="8"/>
    <b v="0"/>
    <b v="1"/>
    <s v="film &amp; video/drama"/>
    <x v="4"/>
    <x v="6"/>
  </r>
  <r>
    <n v="597"/>
    <s v="Todd, Freeman and Henry"/>
    <s v="Diverse systematic projection"/>
    <n v="73800"/>
    <n v="148779"/>
    <n v="201.59756097560975"/>
    <x v="1"/>
    <n v="2188"/>
    <n v="67.997714808043881"/>
    <x v="1"/>
    <s v="USD"/>
    <n v="1573970400"/>
    <n v="1575525600"/>
    <x v="462"/>
    <d v="2019-12-05T06:00:00"/>
    <n v="19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n v="2409"/>
    <n v="73.004566210045667"/>
    <x v="6"/>
    <s v="EUR"/>
    <n v="1276578000"/>
    <n v="1279083600"/>
    <x v="553"/>
    <d v="2010-07-14T05:00:00"/>
    <n v="30"/>
    <b v="0"/>
    <b v="0"/>
    <s v="music/rock"/>
    <x v="1"/>
    <x v="1"/>
  </r>
  <r>
    <n v="599"/>
    <s v="Smith-Ramos"/>
    <s v="Persevering optimizing Graphical User Interface"/>
    <n v="140300"/>
    <n v="5112"/>
    <n v="3.6436208125445475"/>
    <x v="0"/>
    <n v="82"/>
    <n v="62.341463414634148"/>
    <x v="3"/>
    <s v="DKK"/>
    <n v="1423720800"/>
    <n v="1424412000"/>
    <x v="554"/>
    <d v="2015-02-20T06:00:00"/>
    <n v="9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x v="555"/>
    <d v="2013-08-11T05:00:00"/>
    <n v="13"/>
    <b v="0"/>
    <b v="0"/>
    <s v="food/food trucks"/>
    <x v="0"/>
    <x v="0"/>
  </r>
  <r>
    <n v="601"/>
    <s v="Waters and Sons"/>
    <s v="Inverse neutral structure"/>
    <n v="6300"/>
    <n v="13018"/>
    <n v="206.63492063492063"/>
    <x v="1"/>
    <n v="194"/>
    <n v="67.103092783505161"/>
    <x v="1"/>
    <s v="USD"/>
    <n v="1401426000"/>
    <n v="1402894800"/>
    <x v="548"/>
    <d v="2014-06-16T05:00:00"/>
    <n v="18"/>
    <b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n v="1140"/>
    <n v="79.978947368421046"/>
    <x v="1"/>
    <s v="USD"/>
    <n v="1433480400"/>
    <n v="1434430800"/>
    <x v="62"/>
    <d v="2015-06-16T05:00:00"/>
    <n v="12"/>
    <b v="0"/>
    <b v="0"/>
    <s v="theater/plays"/>
    <x v="3"/>
    <x v="3"/>
  </r>
  <r>
    <n v="603"/>
    <s v="Christian, Yates and Greer"/>
    <s v="Vision-oriented 5thgeneration array"/>
    <n v="5300"/>
    <n v="6342"/>
    <n v="119.66037735849056"/>
    <x v="1"/>
    <n v="102"/>
    <n v="62.176470588235297"/>
    <x v="1"/>
    <s v="USD"/>
    <n v="1555563600"/>
    <n v="1557896400"/>
    <x v="556"/>
    <d v="2019-05-15T05:00:00"/>
    <n v="28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n v="2857"/>
    <n v="53.005950297514879"/>
    <x v="1"/>
    <s v="USD"/>
    <n v="1295676000"/>
    <n v="1297490400"/>
    <x v="557"/>
    <d v="2011-02-12T06:00:00"/>
    <n v="22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n v="107"/>
    <n v="57.738317757009348"/>
    <x v="1"/>
    <s v="USD"/>
    <n v="1443848400"/>
    <n v="1447394400"/>
    <x v="27"/>
    <d v="2015-11-13T06:00:00"/>
    <n v="42"/>
    <b v="0"/>
    <b v="0"/>
    <s v="publishing/nonfiction"/>
    <x v="5"/>
    <x v="9"/>
  </r>
  <r>
    <n v="606"/>
    <s v="Valencia PLC"/>
    <s v="Extended asynchronous initiative"/>
    <n v="3400"/>
    <n v="6405"/>
    <n v="188.38235294117646"/>
    <x v="1"/>
    <n v="160"/>
    <n v="40.03125"/>
    <x v="4"/>
    <s v="GBP"/>
    <n v="1457330400"/>
    <n v="1458277200"/>
    <x v="558"/>
    <d v="2016-03-18T05:00:00"/>
    <n v="12"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n v="2230"/>
    <n v="81.016591928251117"/>
    <x v="1"/>
    <s v="USD"/>
    <n v="1395550800"/>
    <n v="1395723600"/>
    <x v="559"/>
    <d v="2014-03-25T05:00:00"/>
    <n v="3"/>
    <b v="0"/>
    <b v="0"/>
    <s v="food/food trucks"/>
    <x v="0"/>
    <x v="0"/>
  </r>
  <r>
    <n v="608"/>
    <s v="Johnson Group"/>
    <s v="Compatible full-range leverage"/>
    <n v="3900"/>
    <n v="11075"/>
    <n v="283.97435897435895"/>
    <x v="1"/>
    <n v="316"/>
    <n v="35.047468354430379"/>
    <x v="1"/>
    <s v="USD"/>
    <n v="1551852000"/>
    <n v="1552197600"/>
    <x v="426"/>
    <d v="2019-03-10T06:00:00"/>
    <n v="5"/>
    <b v="0"/>
    <b v="1"/>
    <s v="music/jazz"/>
    <x v="1"/>
    <x v="17"/>
  </r>
  <r>
    <n v="609"/>
    <s v="Rose-Fuller"/>
    <s v="Upgradable holistic system engine"/>
    <n v="10000"/>
    <n v="12042"/>
    <n v="120.42"/>
    <x v="1"/>
    <n v="117"/>
    <n v="102.92307692307692"/>
    <x v="1"/>
    <s v="USD"/>
    <n v="1547618400"/>
    <n v="1549087200"/>
    <x v="560"/>
    <d v="2019-02-02T06:00:00"/>
    <n v="18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5"/>
    <x v="1"/>
    <n v="6406"/>
    <n v="27.998126756166094"/>
    <x v="1"/>
    <s v="USD"/>
    <n v="1355637600"/>
    <n v="1356847200"/>
    <x v="561"/>
    <d v="2012-12-30T06:00:00"/>
    <n v="15"/>
    <b v="0"/>
    <b v="0"/>
    <s v="theater/plays"/>
    <x v="3"/>
    <x v="3"/>
  </r>
  <r>
    <n v="611"/>
    <s v="Brady, Cortez and Rodriguez"/>
    <s v="Multi-lateral maximized core"/>
    <n v="8200"/>
    <n v="1136"/>
    <n v="13.853658536585366"/>
    <x v="3"/>
    <n v="15"/>
    <n v="75.733333333333334"/>
    <x v="1"/>
    <s v="USD"/>
    <n v="1374728400"/>
    <n v="1375765200"/>
    <x v="562"/>
    <d v="2013-08-06T05:00:00"/>
    <n v="13"/>
    <b v="0"/>
    <b v="0"/>
    <s v="theater/plays"/>
    <x v="3"/>
    <x v="3"/>
  </r>
  <r>
    <n v="612"/>
    <s v="Wang, Nguyen and Horton"/>
    <s v="Innovative holistic hub"/>
    <n v="6200"/>
    <n v="8645"/>
    <n v="139.43548387096774"/>
    <x v="1"/>
    <n v="192"/>
    <n v="45.026041666666664"/>
    <x v="1"/>
    <s v="USD"/>
    <n v="1287810000"/>
    <n v="1289800800"/>
    <x v="563"/>
    <d v="2010-11-15T06:00:00"/>
    <n v="24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15384615384613"/>
    <x v="0"/>
    <s v="CAD"/>
    <n v="1503723600"/>
    <n v="1504501200"/>
    <x v="564"/>
    <d v="2017-09-04T05:00:00"/>
    <n v="10"/>
    <b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n v="723"/>
    <n v="56.991701244813278"/>
    <x v="1"/>
    <s v="USD"/>
    <n v="1484114400"/>
    <n v="1485669600"/>
    <x v="565"/>
    <d v="2017-01-29T06:00:00"/>
    <n v="19"/>
    <b v="0"/>
    <b v="0"/>
    <s v="theater/plays"/>
    <x v="3"/>
    <x v="3"/>
  </r>
  <r>
    <n v="615"/>
    <s v="Petersen-Rodriguez"/>
    <s v="Digitized clear-thinking installation"/>
    <n v="8500"/>
    <n v="14488"/>
    <n v="170.4470588235294"/>
    <x v="1"/>
    <n v="170"/>
    <n v="85.223529411764702"/>
    <x v="6"/>
    <s v="EUR"/>
    <n v="1461906000"/>
    <n v="1462770000"/>
    <x v="566"/>
    <d v="2016-05-09T05:00:00"/>
    <n v="11"/>
    <b v="0"/>
    <b v="0"/>
    <s v="theater/plays"/>
    <x v="3"/>
    <x v="3"/>
  </r>
  <r>
    <n v="616"/>
    <s v="Burnett-Mora"/>
    <s v="Quality-focused 24/7 superstructure"/>
    <n v="6400"/>
    <n v="12129"/>
    <n v="189.515625"/>
    <x v="1"/>
    <n v="238"/>
    <n v="50.962184873949582"/>
    <x v="4"/>
    <s v="GBP"/>
    <n v="1379653200"/>
    <n v="1379739600"/>
    <x v="567"/>
    <d v="2013-09-21T05:00:00"/>
    <n v="2"/>
    <b v="0"/>
    <b v="1"/>
    <s v="music/indie rock"/>
    <x v="1"/>
    <x v="7"/>
  </r>
  <r>
    <n v="617"/>
    <s v="King LLC"/>
    <s v="Multi-channeled local intranet"/>
    <n v="1400"/>
    <n v="3496"/>
    <n v="249.71428571428572"/>
    <x v="1"/>
    <n v="55"/>
    <n v="63.563636363636363"/>
    <x v="1"/>
    <s v="USD"/>
    <n v="1401858000"/>
    <n v="1402722000"/>
    <x v="568"/>
    <d v="2014-06-14T05:00:00"/>
    <n v="11"/>
    <b v="0"/>
    <b v="0"/>
    <s v="theater/plays"/>
    <x v="3"/>
    <x v="3"/>
  </r>
  <r>
    <n v="618"/>
    <s v="Miller Ltd"/>
    <s v="Open-architected mobile emulation"/>
    <n v="198600"/>
    <n v="97037"/>
    <n v="48.86052366565962"/>
    <x v="0"/>
    <n v="1198"/>
    <n v="80.999165275459092"/>
    <x v="1"/>
    <s v="USD"/>
    <n v="1367470800"/>
    <n v="1369285200"/>
    <x v="569"/>
    <d v="2013-05-23T05:00:00"/>
    <n v="22"/>
    <b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n v="648"/>
    <n v="86.044753086419746"/>
    <x v="1"/>
    <s v="USD"/>
    <n v="1304658000"/>
    <n v="1304744400"/>
    <x v="570"/>
    <d v="2011-05-07T05:00:00"/>
    <n v="2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n v="128"/>
    <n v="90.0390625"/>
    <x v="2"/>
    <s v="AUD"/>
    <n v="1467954000"/>
    <n v="1468299600"/>
    <x v="571"/>
    <d v="2016-07-12T05:00:00"/>
    <n v="5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n v="2144"/>
    <n v="74.006063432835816"/>
    <x v="1"/>
    <s v="USD"/>
    <n v="1473742800"/>
    <n v="1474174800"/>
    <x v="572"/>
    <d v="2016-09-18T05:00:00"/>
    <n v="6"/>
    <b v="0"/>
    <b v="0"/>
    <s v="theater/plays"/>
    <x v="3"/>
    <x v="3"/>
  </r>
  <r>
    <n v="622"/>
    <s v="Smith-Smith"/>
    <s v="Total leadingedge neural-net"/>
    <n v="189000"/>
    <n v="5916"/>
    <n v="3.1301587301587301"/>
    <x v="0"/>
    <n v="64"/>
    <n v="92.4375"/>
    <x v="1"/>
    <s v="USD"/>
    <n v="1523768400"/>
    <n v="1526014800"/>
    <x v="573"/>
    <d v="2018-05-11T05:00:00"/>
    <n v="27"/>
    <b v="0"/>
    <b v="0"/>
    <s v="music/indie rock"/>
    <x v="1"/>
    <x v="7"/>
  </r>
  <r>
    <n v="623"/>
    <s v="Smith, Scott and Rodriguez"/>
    <s v="Organic actuating protocol"/>
    <n v="94300"/>
    <n v="150806"/>
    <n v="159.92152704135736"/>
    <x v="1"/>
    <n v="2693"/>
    <n v="55.999257333828446"/>
    <x v="4"/>
    <s v="GBP"/>
    <n v="1437022800"/>
    <n v="1437454800"/>
    <x v="574"/>
    <d v="2015-07-21T05:00:00"/>
    <n v="6"/>
    <b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n v="432"/>
    <n v="32.983796296296298"/>
    <x v="1"/>
    <s v="USD"/>
    <n v="1422165600"/>
    <n v="1422684000"/>
    <x v="511"/>
    <d v="2015-01-31T06:00:00"/>
    <n v="7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n v="62"/>
    <n v="93.596774193548384"/>
    <x v="1"/>
    <s v="USD"/>
    <n v="1580104800"/>
    <n v="1581314400"/>
    <x v="575"/>
    <d v="2020-02-10T06:00:00"/>
    <n v="15"/>
    <b v="0"/>
    <b v="0"/>
    <s v="theater/plays"/>
    <x v="3"/>
    <x v="3"/>
  </r>
  <r>
    <n v="626"/>
    <s v="Tucker, Mccoy and Marquez"/>
    <s v="Synergistic tertiary budgetary management"/>
    <n v="6400"/>
    <n v="13205"/>
    <n v="206.328125"/>
    <x v="1"/>
    <n v="189"/>
    <n v="69.867724867724874"/>
    <x v="1"/>
    <s v="USD"/>
    <n v="1285650000"/>
    <n v="1286427600"/>
    <x v="576"/>
    <d v="2010-10-07T05:00:00"/>
    <n v="10"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n v="154"/>
    <n v="72.129870129870127"/>
    <x v="4"/>
    <s v="GBP"/>
    <n v="1276664400"/>
    <n v="1278738000"/>
    <x v="577"/>
    <d v="2010-07-10T05:00:00"/>
    <n v="25"/>
    <b v="1"/>
    <b v="0"/>
    <s v="food/food trucks"/>
    <x v="0"/>
    <x v="0"/>
  </r>
  <r>
    <n v="628"/>
    <s v="Dunn, Moreno and Green"/>
    <s v="Intuitive object-oriented task-force"/>
    <n v="1900"/>
    <n v="2884"/>
    <n v="151.78947368421052"/>
    <x v="1"/>
    <n v="96"/>
    <n v="30.041666666666668"/>
    <x v="1"/>
    <s v="USD"/>
    <n v="1286168400"/>
    <n v="1286427600"/>
    <x v="578"/>
    <d v="2010-10-07T05:00:00"/>
    <n v="4"/>
    <b v="0"/>
    <b v="0"/>
    <s v="music/indie rock"/>
    <x v="1"/>
    <x v="7"/>
  </r>
  <r>
    <n v="629"/>
    <s v="Jackson, Martinez and Ray"/>
    <s v="Multi-tiered executive toolset"/>
    <n v="85900"/>
    <n v="55476"/>
    <n v="64.582072176949936"/>
    <x v="0"/>
    <n v="750"/>
    <n v="73.968000000000004"/>
    <x v="1"/>
    <s v="USD"/>
    <n v="1467781200"/>
    <n v="1467954000"/>
    <x v="579"/>
    <d v="2016-07-08T05:00:00"/>
    <n v="3"/>
    <b v="0"/>
    <b v="1"/>
    <s v="theater/plays"/>
    <x v="3"/>
    <x v="3"/>
  </r>
  <r>
    <n v="630"/>
    <s v="Patterson-Johnson"/>
    <s v="Grass-roots directional workforce"/>
    <n v="9500"/>
    <n v="5973"/>
    <n v="62.873684210526314"/>
    <x v="3"/>
    <n v="87"/>
    <n v="68.65517241379311"/>
    <x v="1"/>
    <s v="USD"/>
    <n v="1556686800"/>
    <n v="1557637200"/>
    <x v="580"/>
    <d v="2019-05-12T05:00:00"/>
    <n v="12"/>
    <b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n v="3063"/>
    <n v="59.992164544564154"/>
    <x v="1"/>
    <s v="USD"/>
    <n v="1553576400"/>
    <n v="1553922000"/>
    <x v="581"/>
    <d v="2019-03-30T05:00:00"/>
    <n v="5"/>
    <b v="0"/>
    <b v="0"/>
    <s v="theater/plays"/>
    <x v="3"/>
    <x v="3"/>
  </r>
  <r>
    <n v="632"/>
    <s v="Parker PLC"/>
    <s v="Reduced interactive matrix"/>
    <n v="72100"/>
    <n v="30902"/>
    <n v="42.859916782246877"/>
    <x v="2"/>
    <n v="278"/>
    <n v="111.15827338129496"/>
    <x v="1"/>
    <s v="USD"/>
    <n v="1414904400"/>
    <n v="1416463200"/>
    <x v="582"/>
    <d v="2014-11-20T06:00:00"/>
    <n v="19"/>
    <b v="0"/>
    <b v="0"/>
    <s v="theater/plays"/>
    <x v="3"/>
    <x v="3"/>
  </r>
  <r>
    <n v="633"/>
    <s v="Yu and Sons"/>
    <s v="Adaptive context-sensitive architecture"/>
    <n v="6700"/>
    <n v="5569"/>
    <n v="83.119402985074629"/>
    <x v="0"/>
    <n v="105"/>
    <n v="53.038095238095238"/>
    <x v="1"/>
    <s v="USD"/>
    <n v="1446876000"/>
    <n v="1447221600"/>
    <x v="336"/>
    <d v="2015-11-11T06:00:00"/>
    <n v="5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38"/>
    <x v="3"/>
    <n v="1658"/>
    <n v="55.985524728588658"/>
    <x v="1"/>
    <s v="USD"/>
    <n v="1490418000"/>
    <n v="1491627600"/>
    <x v="583"/>
    <d v="2017-04-08T05:00:00"/>
    <n v="15"/>
    <b v="0"/>
    <b v="0"/>
    <s v="film &amp; video/television"/>
    <x v="4"/>
    <x v="19"/>
  </r>
  <r>
    <n v="635"/>
    <s v="Mack Ltd"/>
    <s v="Reactive regional access"/>
    <n v="139000"/>
    <n v="158590"/>
    <n v="114.09352517985612"/>
    <x v="1"/>
    <n v="2266"/>
    <n v="69.986760812003524"/>
    <x v="1"/>
    <s v="USD"/>
    <n v="1360389600"/>
    <n v="1363150800"/>
    <x v="584"/>
    <d v="2013-03-13T05:00:00"/>
    <n v="33"/>
    <b v="0"/>
    <b v="0"/>
    <s v="film &amp; video/television"/>
    <x v="4"/>
    <x v="19"/>
  </r>
  <r>
    <n v="636"/>
    <s v="Lamb-Sanders"/>
    <s v="Stand-alone reciprocal frame"/>
    <n v="197700"/>
    <n v="127591"/>
    <n v="64.537683358624179"/>
    <x v="0"/>
    <n v="2604"/>
    <n v="48.998079877112133"/>
    <x v="3"/>
    <s v="DKK"/>
    <n v="1326866400"/>
    <n v="1330754400"/>
    <x v="585"/>
    <d v="2012-03-03T06:00:00"/>
    <n v="46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n v="65"/>
    <n v="103.84615384615384"/>
    <x v="1"/>
    <s v="USD"/>
    <n v="1479103200"/>
    <n v="1479794400"/>
    <x v="586"/>
    <d v="2016-11-22T06:00:00"/>
    <n v="9"/>
    <b v="0"/>
    <b v="0"/>
    <s v="theater/plays"/>
    <x v="3"/>
    <x v="3"/>
  </r>
  <r>
    <n v="638"/>
    <s v="Weaver Ltd"/>
    <s v="Monitored 24/7 approach"/>
    <n v="81600"/>
    <n v="9318"/>
    <n v="11.419117647058824"/>
    <x v="0"/>
    <n v="94"/>
    <n v="99.127659574468083"/>
    <x v="1"/>
    <s v="USD"/>
    <n v="1280206800"/>
    <n v="1281243600"/>
    <x v="587"/>
    <d v="2010-08-08T05:00:00"/>
    <n v="13"/>
    <b v="0"/>
    <b v="1"/>
    <s v="theater/plays"/>
    <x v="3"/>
    <x v="3"/>
  </r>
  <r>
    <n v="639"/>
    <s v="Barnes-Williams"/>
    <s v="Upgradable explicit forecast"/>
    <n v="8600"/>
    <n v="4832"/>
    <n v="56.186046511627907"/>
    <x v="2"/>
    <n v="45"/>
    <n v="107.37777777777778"/>
    <x v="1"/>
    <s v="USD"/>
    <n v="1532754000"/>
    <n v="1532754000"/>
    <x v="588"/>
    <d v="2018-07-28T05:00:00"/>
    <n v="1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s v="USD"/>
    <n v="1453096800"/>
    <n v="1453356000"/>
    <x v="589"/>
    <d v="2016-01-21T06:00:00"/>
    <n v="4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n v="194"/>
    <n v="58.128865979381445"/>
    <x v="5"/>
    <s v="CHF"/>
    <n v="1487570400"/>
    <n v="1489986000"/>
    <x v="590"/>
    <d v="2017-03-20T05:00:00"/>
    <n v="29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n v="129"/>
    <n v="103.73643410852713"/>
    <x v="0"/>
    <s v="CAD"/>
    <n v="1545026400"/>
    <n v="1545804000"/>
    <x v="591"/>
    <d v="2018-12-26T06:00:00"/>
    <n v="10"/>
    <b v="0"/>
    <b v="0"/>
    <s v="technology/wearables"/>
    <x v="2"/>
    <x v="8"/>
  </r>
  <r>
    <n v="643"/>
    <s v="Harris Inc"/>
    <s v="Future-proofed modular groupware"/>
    <n v="14900"/>
    <n v="32986"/>
    <n v="221.38255033557047"/>
    <x v="1"/>
    <n v="375"/>
    <n v="87.962666666666664"/>
    <x v="1"/>
    <s v="USD"/>
    <n v="1488348000"/>
    <n v="1489899600"/>
    <x v="592"/>
    <d v="2017-03-19T05:00:00"/>
    <n v="19"/>
    <b v="0"/>
    <b v="0"/>
    <s v="theater/plays"/>
    <x v="3"/>
    <x v="3"/>
  </r>
  <r>
    <n v="644"/>
    <s v="Peters-Nelson"/>
    <s v="Distributed real-time algorithm"/>
    <n v="169400"/>
    <n v="81984"/>
    <n v="48.396694214876035"/>
    <x v="0"/>
    <n v="2928"/>
    <n v="28"/>
    <x v="0"/>
    <s v="CAD"/>
    <n v="1545112800"/>
    <n v="1546495200"/>
    <x v="593"/>
    <d v="2019-01-03T06:00:00"/>
    <n v="17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n v="4697"/>
    <n v="37.999361294443261"/>
    <x v="1"/>
    <s v="USD"/>
    <n v="1537938000"/>
    <n v="1539752400"/>
    <x v="594"/>
    <d v="2018-10-17T05:00:00"/>
    <n v="22"/>
    <b v="0"/>
    <b v="1"/>
    <s v="music/rock"/>
    <x v="1"/>
    <x v="1"/>
  </r>
  <r>
    <n v="646"/>
    <s v="Robinson Group"/>
    <s v="Switchable reciprocal middleware"/>
    <n v="98700"/>
    <n v="87448"/>
    <n v="88.59979736575481"/>
    <x v="0"/>
    <n v="2915"/>
    <n v="29.999313893653515"/>
    <x v="1"/>
    <s v="USD"/>
    <n v="1363150800"/>
    <n v="1364101200"/>
    <x v="595"/>
    <d v="2013-03-24T05:00:00"/>
    <n v="12"/>
    <b v="0"/>
    <b v="0"/>
    <s v="games/video games"/>
    <x v="6"/>
    <x v="11"/>
  </r>
  <r>
    <n v="647"/>
    <s v="Jordan-Wolfe"/>
    <s v="Inverse multimedia Graphic Interface"/>
    <n v="4500"/>
    <n v="1863"/>
    <n v="41.4"/>
    <x v="0"/>
    <n v="18"/>
    <n v="103.5"/>
    <x v="1"/>
    <s v="USD"/>
    <n v="1523250000"/>
    <n v="1525323600"/>
    <x v="596"/>
    <d v="2018-05-03T05:00:00"/>
    <n v="25"/>
    <b v="0"/>
    <b v="0"/>
    <s v="publishing/translations"/>
    <x v="5"/>
    <x v="18"/>
  </r>
  <r>
    <n v="648"/>
    <s v="Vargas-Cox"/>
    <s v="Vision-oriented local contingency"/>
    <n v="98600"/>
    <n v="62174"/>
    <n v="63.056795131845838"/>
    <x v="3"/>
    <n v="723"/>
    <n v="85.994467496542185"/>
    <x v="1"/>
    <s v="USD"/>
    <n v="1499317200"/>
    <n v="1500872400"/>
    <x v="597"/>
    <d v="2017-07-24T05:00:00"/>
    <n v="19"/>
    <b v="1"/>
    <b v="0"/>
    <s v="food/food trucks"/>
    <x v="0"/>
    <x v="0"/>
  </r>
  <r>
    <n v="649"/>
    <s v="Yang and Sons"/>
    <s v="Reactive 6thgeneration hub"/>
    <n v="121700"/>
    <n v="59003"/>
    <n v="48.482333607230899"/>
    <x v="0"/>
    <n v="602"/>
    <n v="98.011627906976742"/>
    <x v="5"/>
    <s v="CHF"/>
    <n v="1287550800"/>
    <n v="1288501200"/>
    <x v="598"/>
    <d v="2010-10-31T05:00:00"/>
    <n v="12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x v="599"/>
    <d v="2014-08-04T05:00:00"/>
    <n v="28"/>
    <b v="0"/>
    <b v="0"/>
    <s v="music/jazz"/>
    <x v="1"/>
    <x v="17"/>
  </r>
  <r>
    <n v="651"/>
    <s v="Wang, Koch and Weaver"/>
    <s v="Digitized analyzing capacity"/>
    <n v="196700"/>
    <n v="174039"/>
    <n v="88.47941026944585"/>
    <x v="0"/>
    <n v="3868"/>
    <n v="44.994570837642193"/>
    <x v="6"/>
    <s v="EUR"/>
    <n v="1393048800"/>
    <n v="1394344800"/>
    <x v="600"/>
    <d v="2014-03-09T06:00:00"/>
    <n v="16"/>
    <b v="0"/>
    <b v="0"/>
    <s v="film &amp; video/shorts"/>
    <x v="4"/>
    <x v="12"/>
  </r>
  <r>
    <n v="652"/>
    <s v="Cisneros Ltd"/>
    <s v="Vision-oriented regional hub"/>
    <n v="10000"/>
    <n v="12684"/>
    <n v="126.84"/>
    <x v="1"/>
    <n v="409"/>
    <n v="31.012224938875306"/>
    <x v="1"/>
    <s v="USD"/>
    <n v="1470373200"/>
    <n v="1474088400"/>
    <x v="601"/>
    <d v="2016-09-17T05:00:00"/>
    <n v="44"/>
    <b v="0"/>
    <b v="0"/>
    <s v="technology/web"/>
    <x v="2"/>
    <x v="2"/>
  </r>
  <r>
    <n v="653"/>
    <s v="Williams-Jones"/>
    <s v="Monitored incremental info-mediaries"/>
    <n v="600"/>
    <n v="14033"/>
    <n v="2338.8333333333335"/>
    <x v="1"/>
    <n v="234"/>
    <n v="59.970085470085472"/>
    <x v="1"/>
    <s v="USD"/>
    <n v="1460091600"/>
    <n v="1460264400"/>
    <x v="602"/>
    <d v="2016-04-10T05:00:00"/>
    <n v="3"/>
    <b v="0"/>
    <b v="0"/>
    <s v="technology/web"/>
    <x v="2"/>
    <x v="2"/>
  </r>
  <r>
    <n v="654"/>
    <s v="Roberts, Hinton and Williams"/>
    <s v="Programmable static middleware"/>
    <n v="35000"/>
    <n v="177936"/>
    <n v="508.38857142857142"/>
    <x v="1"/>
    <n v="3016"/>
    <n v="58.9973474801061"/>
    <x v="1"/>
    <s v="USD"/>
    <n v="1440392400"/>
    <n v="1440824400"/>
    <x v="335"/>
    <d v="2015-08-29T05:00:00"/>
    <n v="6"/>
    <b v="0"/>
    <b v="0"/>
    <s v="music/metal"/>
    <x v="1"/>
    <x v="16"/>
  </r>
  <r>
    <n v="655"/>
    <s v="Gonzalez, Williams and Benson"/>
    <s v="Multi-layered bottom-line encryption"/>
    <n v="6900"/>
    <n v="13212"/>
    <n v="191.47826086956522"/>
    <x v="1"/>
    <n v="264"/>
    <n v="50.045454545454547"/>
    <x v="1"/>
    <s v="USD"/>
    <n v="1488434400"/>
    <n v="1489554000"/>
    <x v="603"/>
    <d v="2017-03-15T05:00:00"/>
    <n v="14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n v="1514440800"/>
    <n v="1514872800"/>
    <x v="604"/>
    <d v="2018-01-02T06:00:00"/>
    <n v="6"/>
    <b v="0"/>
    <b v="0"/>
    <s v="food/food trucks"/>
    <x v="0"/>
    <x v="0"/>
  </r>
  <r>
    <n v="657"/>
    <s v="Russo, Kim and Mccoy"/>
    <s v="Balanced optimal hardware"/>
    <n v="10000"/>
    <n v="824"/>
    <n v="8.24"/>
    <x v="0"/>
    <n v="14"/>
    <n v="58.857142857142854"/>
    <x v="1"/>
    <s v="USD"/>
    <n v="1514354400"/>
    <n v="1515736800"/>
    <x v="605"/>
    <d v="2018-01-12T06:00:00"/>
    <n v="17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n v="390"/>
    <n v="81.010256410256417"/>
    <x v="1"/>
    <s v="USD"/>
    <n v="1440910800"/>
    <n v="1442898000"/>
    <x v="606"/>
    <d v="2015-09-22T05:00:00"/>
    <n v="24"/>
    <b v="0"/>
    <b v="0"/>
    <s v="music/rock"/>
    <x v="1"/>
    <x v="1"/>
  </r>
  <r>
    <n v="659"/>
    <s v="Bailey and Sons"/>
    <s v="Grass-roots dynamic emulation"/>
    <n v="120700"/>
    <n v="57010"/>
    <n v="47.232808616404306"/>
    <x v="0"/>
    <n v="750"/>
    <n v="76.013333333333335"/>
    <x v="4"/>
    <s v="GBP"/>
    <n v="1296108000"/>
    <n v="1296194400"/>
    <x v="65"/>
    <d v="2011-01-28T06:00:00"/>
    <n v="2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n v="77"/>
    <n v="96.597402597402592"/>
    <x v="1"/>
    <s v="USD"/>
    <n v="1440133200"/>
    <n v="1440910800"/>
    <x v="607"/>
    <d v="2015-08-30T05:00:00"/>
    <n v="10"/>
    <b v="1"/>
    <b v="0"/>
    <s v="theater/plays"/>
    <x v="3"/>
    <x v="3"/>
  </r>
  <r>
    <n v="661"/>
    <s v="Smith Group"/>
    <s v="Right-sized secondary challenge"/>
    <n v="106800"/>
    <n v="57872"/>
    <n v="54.187265917602993"/>
    <x v="0"/>
    <n v="752"/>
    <n v="76.957446808510639"/>
    <x v="3"/>
    <s v="DKK"/>
    <n v="1332910800"/>
    <n v="1335502800"/>
    <x v="608"/>
    <d v="2012-04-27T05:00:00"/>
    <n v="31"/>
    <b v="0"/>
    <b v="0"/>
    <s v="music/jazz"/>
    <x v="1"/>
    <x v="17"/>
  </r>
  <r>
    <n v="662"/>
    <s v="Murphy-Farrell"/>
    <s v="Implemented exuding software"/>
    <n v="9100"/>
    <n v="8906"/>
    <n v="97.868131868131869"/>
    <x v="0"/>
    <n v="131"/>
    <n v="67.984732824427482"/>
    <x v="1"/>
    <s v="USD"/>
    <n v="1544335200"/>
    <n v="1544680800"/>
    <x v="609"/>
    <d v="2018-12-13T06:00:00"/>
    <n v="5"/>
    <b v="0"/>
    <b v="0"/>
    <s v="theater/plays"/>
    <x v="3"/>
    <x v="3"/>
  </r>
  <r>
    <n v="663"/>
    <s v="Everett-Wolfe"/>
    <s v="Total optimizing software"/>
    <n v="10000"/>
    <n v="7724"/>
    <n v="77.239999999999995"/>
    <x v="0"/>
    <n v="87"/>
    <n v="88.781609195402297"/>
    <x v="1"/>
    <s v="USD"/>
    <n v="1286427600"/>
    <n v="1288414800"/>
    <x v="610"/>
    <d v="2010-10-30T05:00:00"/>
    <n v="24"/>
    <b v="0"/>
    <b v="0"/>
    <s v="theater/plays"/>
    <x v="3"/>
    <x v="3"/>
  </r>
  <r>
    <n v="664"/>
    <s v="Young PLC"/>
    <s v="Optional maximized attitude"/>
    <n v="79400"/>
    <n v="26571"/>
    <n v="33.464735516372798"/>
    <x v="0"/>
    <n v="1063"/>
    <n v="24.99623706491063"/>
    <x v="1"/>
    <s v="USD"/>
    <n v="1329717600"/>
    <n v="1330581600"/>
    <x v="541"/>
    <d v="2012-03-01T06:00:00"/>
    <n v="11"/>
    <b v="0"/>
    <b v="0"/>
    <s v="music/jazz"/>
    <x v="1"/>
    <x v="17"/>
  </r>
  <r>
    <n v="665"/>
    <s v="Park-Goodman"/>
    <s v="Customer-focused impactful extranet"/>
    <n v="5100"/>
    <n v="12219"/>
    <n v="239.58823529411765"/>
    <x v="1"/>
    <n v="272"/>
    <n v="44.922794117647058"/>
    <x v="1"/>
    <s v="USD"/>
    <n v="1310187600"/>
    <n v="1311397200"/>
    <x v="611"/>
    <d v="2011-07-23T05:00:00"/>
    <n v="15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n v="25"/>
    <n v="79.400000000000006"/>
    <x v="1"/>
    <s v="USD"/>
    <n v="1377838800"/>
    <n v="1378357200"/>
    <x v="612"/>
    <d v="2013-09-05T05:00:00"/>
    <n v="7"/>
    <b v="0"/>
    <b v="1"/>
    <s v="theater/plays"/>
    <x v="3"/>
    <x v="3"/>
  </r>
  <r>
    <n v="667"/>
    <s v="Little Ltd"/>
    <s v="Decentralized bandwidth-monitored ability"/>
    <n v="6900"/>
    <n v="12155"/>
    <n v="176.15942028985506"/>
    <x v="1"/>
    <n v="419"/>
    <n v="29.009546539379475"/>
    <x v="1"/>
    <s v="USD"/>
    <n v="1410325200"/>
    <n v="1411102800"/>
    <x v="613"/>
    <d v="2014-09-19T05:00:00"/>
    <n v="10"/>
    <b v="0"/>
    <b v="0"/>
    <s v="journalism/audio"/>
    <x v="8"/>
    <x v="23"/>
  </r>
  <r>
    <n v="668"/>
    <s v="Brown and Sons"/>
    <s v="Programmable leadingedge budgetary management"/>
    <n v="27500"/>
    <n v="5593"/>
    <n v="20.33818181818182"/>
    <x v="0"/>
    <n v="76"/>
    <n v="73.59210526315789"/>
    <x v="1"/>
    <s v="USD"/>
    <n v="1343797200"/>
    <n v="1344834000"/>
    <x v="614"/>
    <d v="2012-08-13T05:00:00"/>
    <n v="13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n v="1621"/>
    <n v="107.97038864898211"/>
    <x v="6"/>
    <s v="EUR"/>
    <n v="1498453200"/>
    <n v="1499230800"/>
    <x v="615"/>
    <d v="2017-07-05T05:00:00"/>
    <n v="1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n v="1101"/>
    <n v="68.987284287011803"/>
    <x v="1"/>
    <s v="USD"/>
    <n v="1456380000"/>
    <n v="1457416800"/>
    <x v="90"/>
    <d v="2016-03-08T06:00:00"/>
    <n v="13"/>
    <b v="0"/>
    <b v="0"/>
    <s v="music/indie rock"/>
    <x v="1"/>
    <x v="7"/>
  </r>
  <r>
    <n v="671"/>
    <s v="Robinson-Kelly"/>
    <s v="Monitored bi-directional standardization"/>
    <n v="97600"/>
    <n v="119127"/>
    <n v="122.0563524590164"/>
    <x v="1"/>
    <n v="1073"/>
    <n v="111.02236719478098"/>
    <x v="1"/>
    <s v="USD"/>
    <n v="1280552400"/>
    <n v="1280898000"/>
    <x v="616"/>
    <d v="2010-08-04T05:00:00"/>
    <n v="5"/>
    <b v="0"/>
    <b v="1"/>
    <s v="theater/plays"/>
    <x v="3"/>
    <x v="3"/>
  </r>
  <r>
    <n v="672"/>
    <s v="Kelly-Colon"/>
    <s v="Stand-alone grid-enabled leverage"/>
    <n v="197900"/>
    <n v="110689"/>
    <n v="55.931783729156137"/>
    <x v="0"/>
    <n v="4428"/>
    <n v="24.997515808491418"/>
    <x v="2"/>
    <s v="AUD"/>
    <n v="1521608400"/>
    <n v="1522472400"/>
    <x v="617"/>
    <d v="2018-03-31T05:00:00"/>
    <n v="11"/>
    <b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n v="58"/>
    <n v="42.155172413793103"/>
    <x v="6"/>
    <s v="EUR"/>
    <n v="1460696400"/>
    <n v="1462510800"/>
    <x v="618"/>
    <d v="2016-05-06T05:00:00"/>
    <n v="22"/>
    <b v="0"/>
    <b v="0"/>
    <s v="music/indie rock"/>
    <x v="1"/>
    <x v="7"/>
  </r>
  <r>
    <n v="674"/>
    <s v="Sanchez Ltd"/>
    <s v="Up-sized 24hour instruction set"/>
    <n v="170700"/>
    <n v="57250"/>
    <n v="33.538371411833623"/>
    <x v="3"/>
    <n v="1218"/>
    <n v="47.003284072249592"/>
    <x v="1"/>
    <s v="USD"/>
    <n v="1313730000"/>
    <n v="1317790800"/>
    <x v="619"/>
    <d v="2011-10-05T05:00:00"/>
    <n v="48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n v="331"/>
    <n v="36.0392749244713"/>
    <x v="1"/>
    <s v="USD"/>
    <n v="1568178000"/>
    <n v="1568782800"/>
    <x v="620"/>
    <d v="2019-09-18T05:00:00"/>
    <n v="8"/>
    <b v="0"/>
    <b v="0"/>
    <s v="journalism/audio"/>
    <x v="8"/>
    <x v="23"/>
  </r>
  <r>
    <n v="676"/>
    <s v="Thompson-Moreno"/>
    <s v="Expanded needs-based orchestration"/>
    <n v="62300"/>
    <n v="118214"/>
    <n v="189.74959871589084"/>
    <x v="1"/>
    <n v="1170"/>
    <n v="101.03760683760684"/>
    <x v="1"/>
    <s v="USD"/>
    <n v="1348635600"/>
    <n v="1349413200"/>
    <x v="621"/>
    <d v="2012-10-05T05:00:00"/>
    <n v="10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n v="111"/>
    <n v="39.927927927927925"/>
    <x v="1"/>
    <s v="USD"/>
    <n v="1468126800"/>
    <n v="1472446800"/>
    <x v="622"/>
    <d v="2016-08-29T05:00:00"/>
    <n v="51"/>
    <b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n v="215"/>
    <n v="83.158139534883716"/>
    <x v="1"/>
    <s v="USD"/>
    <n v="1547877600"/>
    <n v="1548050400"/>
    <x v="35"/>
    <d v="2019-01-21T06:00:00"/>
    <n v="3"/>
    <b v="0"/>
    <b v="0"/>
    <s v="film &amp; video/drama"/>
    <x v="4"/>
    <x v="6"/>
  </r>
  <r>
    <n v="679"/>
    <s v="Davis Ltd"/>
    <s v="Synchronized motivating solution"/>
    <n v="1400"/>
    <n v="14511"/>
    <n v="1036.5"/>
    <x v="1"/>
    <n v="363"/>
    <n v="39.97520661157025"/>
    <x v="1"/>
    <s v="USD"/>
    <n v="1571374800"/>
    <n v="1571806800"/>
    <x v="623"/>
    <d v="2019-10-23T05:00:00"/>
    <n v="6"/>
    <b v="0"/>
    <b v="1"/>
    <s v="food/food trucks"/>
    <x v="0"/>
    <x v="0"/>
  </r>
  <r>
    <n v="680"/>
    <s v="Nelson-Valdez"/>
    <s v="Open-source 4thgeneration open system"/>
    <n v="145600"/>
    <n v="141822"/>
    <n v="97.405219780219781"/>
    <x v="0"/>
    <n v="2955"/>
    <n v="47.993908629441627"/>
    <x v="1"/>
    <s v="USD"/>
    <n v="1576303200"/>
    <n v="1576476000"/>
    <x v="624"/>
    <d v="2019-12-16T06:00:00"/>
    <n v="3"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n v="1657"/>
    <n v="95.978877489438744"/>
    <x v="1"/>
    <s v="USD"/>
    <n v="1324447200"/>
    <n v="1324965600"/>
    <x v="625"/>
    <d v="2011-12-27T06:00:00"/>
    <n v="7"/>
    <b v="0"/>
    <b v="0"/>
    <s v="theater/plays"/>
    <x v="3"/>
    <x v="3"/>
  </r>
  <r>
    <n v="682"/>
    <s v="Nguyen and Sons"/>
    <s v="Compatible 5thgeneration concept"/>
    <n v="5400"/>
    <n v="8109"/>
    <n v="150.16666666666666"/>
    <x v="1"/>
    <n v="103"/>
    <n v="78.728155339805824"/>
    <x v="1"/>
    <s v="USD"/>
    <n v="1386741600"/>
    <n v="1387519200"/>
    <x v="626"/>
    <d v="2013-12-20T06:00:00"/>
    <n v="10"/>
    <b v="0"/>
    <b v="0"/>
    <s v="theater/plays"/>
    <x v="3"/>
    <x v="3"/>
  </r>
  <r>
    <n v="683"/>
    <s v="Jones PLC"/>
    <s v="Virtual systemic intranet"/>
    <n v="2300"/>
    <n v="8244"/>
    <n v="358.43478260869563"/>
    <x v="1"/>
    <n v="147"/>
    <n v="56.081632653061227"/>
    <x v="1"/>
    <s v="USD"/>
    <n v="1537074000"/>
    <n v="1537246800"/>
    <x v="627"/>
    <d v="2018-09-18T05:00:00"/>
    <n v="3"/>
    <b v="0"/>
    <b v="0"/>
    <s v="theater/plays"/>
    <x v="3"/>
    <x v="3"/>
  </r>
  <r>
    <n v="684"/>
    <s v="Gilmore LLC"/>
    <s v="Optimized systemic algorithm"/>
    <n v="1400"/>
    <n v="7600"/>
    <n v="542.85714285714289"/>
    <x v="1"/>
    <n v="110"/>
    <n v="69.090909090909093"/>
    <x v="0"/>
    <s v="CAD"/>
    <n v="1277787600"/>
    <n v="1279515600"/>
    <x v="628"/>
    <d v="2010-07-19T05:00:00"/>
    <n v="21"/>
    <b v="0"/>
    <b v="0"/>
    <s v="publishing/nonfiction"/>
    <x v="5"/>
    <x v="9"/>
  </r>
  <r>
    <n v="685"/>
    <s v="Lee-Cobb"/>
    <s v="Customizable homogeneous firmware"/>
    <n v="140000"/>
    <n v="94501"/>
    <n v="67.500714285714281"/>
    <x v="0"/>
    <n v="926"/>
    <n v="102.05291576673866"/>
    <x v="0"/>
    <s v="CAD"/>
    <n v="1440306000"/>
    <n v="1442379600"/>
    <x v="629"/>
    <d v="2015-09-16T05:00:00"/>
    <n v="25"/>
    <b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n v="134"/>
    <n v="107.32089552238806"/>
    <x v="1"/>
    <s v="USD"/>
    <n v="1522126800"/>
    <n v="1523077200"/>
    <x v="630"/>
    <d v="2018-04-07T05:00:00"/>
    <n v="12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0260223048328"/>
    <x v="1"/>
    <s v="USD"/>
    <n v="1489298400"/>
    <n v="1489554000"/>
    <x v="631"/>
    <d v="2017-03-15T05:00:00"/>
    <n v="4"/>
    <b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n v="175"/>
    <n v="71.137142857142862"/>
    <x v="1"/>
    <s v="USD"/>
    <n v="1547100000"/>
    <n v="1548482400"/>
    <x v="632"/>
    <d v="2019-01-26T06:00:00"/>
    <n v="17"/>
    <b v="0"/>
    <b v="1"/>
    <s v="film &amp; video/television"/>
    <x v="4"/>
    <x v="19"/>
  </r>
  <r>
    <n v="689"/>
    <s v="Nguyen Inc"/>
    <s v="Seamless directional capacity"/>
    <n v="7300"/>
    <n v="7348"/>
    <n v="100.65753424657534"/>
    <x v="1"/>
    <n v="69"/>
    <n v="106.49275362318841"/>
    <x v="1"/>
    <s v="USD"/>
    <n v="1383022800"/>
    <n v="1384063200"/>
    <x v="633"/>
    <d v="2013-11-10T06:00:00"/>
    <n v="13"/>
    <b v="0"/>
    <b v="0"/>
    <s v="technology/web"/>
    <x v="2"/>
    <x v="2"/>
  </r>
  <r>
    <n v="690"/>
    <s v="Walsh-Watts"/>
    <s v="Polarized actuating implementation"/>
    <n v="3600"/>
    <n v="8158"/>
    <n v="226.61111111111111"/>
    <x v="1"/>
    <n v="190"/>
    <n v="42.93684210526316"/>
    <x v="1"/>
    <s v="USD"/>
    <n v="1322373600"/>
    <n v="1322892000"/>
    <x v="634"/>
    <d v="2011-12-03T06:00:00"/>
    <n v="7"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n v="237"/>
    <n v="30.037974683544302"/>
    <x v="1"/>
    <s v="USD"/>
    <n v="1349240400"/>
    <n v="1350709200"/>
    <x v="635"/>
    <d v="2012-10-20T05:00:00"/>
    <n v="18"/>
    <b v="1"/>
    <b v="1"/>
    <s v="film &amp; video/documentary"/>
    <x v="4"/>
    <x v="4"/>
  </r>
  <r>
    <n v="692"/>
    <s v="Murray Ltd"/>
    <s v="Decentralized 4thgeneration challenge"/>
    <n v="6000"/>
    <n v="5438"/>
    <n v="90.63333333333334"/>
    <x v="0"/>
    <n v="77"/>
    <n v="70.623376623376629"/>
    <x v="4"/>
    <s v="GBP"/>
    <n v="1562648400"/>
    <n v="1564203600"/>
    <x v="636"/>
    <d v="2019-07-27T05:00:00"/>
    <n v="19"/>
    <b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n v="1748"/>
    <n v="66.016018306636155"/>
    <x v="1"/>
    <s v="USD"/>
    <n v="1508216400"/>
    <n v="1509685200"/>
    <x v="637"/>
    <d v="2017-11-03T05:00:00"/>
    <n v="18"/>
    <b v="0"/>
    <b v="0"/>
    <s v="theater/plays"/>
    <x v="3"/>
    <x v="3"/>
  </r>
  <r>
    <n v="694"/>
    <s v="Mora-Bradley"/>
    <s v="Programmable tangible ability"/>
    <n v="9100"/>
    <n v="7656"/>
    <n v="84.131868131868131"/>
    <x v="0"/>
    <n v="79"/>
    <n v="96.911392405063296"/>
    <x v="1"/>
    <s v="USD"/>
    <n v="1511762400"/>
    <n v="1514959200"/>
    <x v="638"/>
    <d v="2018-01-03T06:00:00"/>
    <n v="38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n v="196"/>
    <n v="62.867346938775512"/>
    <x v="6"/>
    <s v="EUR"/>
    <n v="1447480800"/>
    <n v="1448863200"/>
    <x v="639"/>
    <d v="2015-11-30T06:00:00"/>
    <n v="17"/>
    <b v="1"/>
    <b v="0"/>
    <s v="music/rock"/>
    <x v="1"/>
    <x v="1"/>
  </r>
  <r>
    <n v="696"/>
    <s v="Lopez, Reid and Johnson"/>
    <s v="Total real-time hardware"/>
    <n v="164100"/>
    <n v="96888"/>
    <n v="59.042047531992687"/>
    <x v="0"/>
    <n v="889"/>
    <n v="108.98537682789652"/>
    <x v="1"/>
    <s v="USD"/>
    <n v="1429506000"/>
    <n v="1429592400"/>
    <x v="640"/>
    <d v="2015-04-21T05:00:00"/>
    <n v="2"/>
    <b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n v="7295"/>
    <n v="26.999314599040439"/>
    <x v="1"/>
    <s v="USD"/>
    <n v="1522472400"/>
    <n v="1522645200"/>
    <x v="641"/>
    <d v="2018-04-02T05:00:00"/>
    <n v="3"/>
    <b v="0"/>
    <b v="0"/>
    <s v="music/electric music"/>
    <x v="1"/>
    <x v="5"/>
  </r>
  <r>
    <n v="698"/>
    <s v="Taylor, Wood and Taylor"/>
    <s v="Cloned hybrid focus group"/>
    <n v="42100"/>
    <n v="188057"/>
    <n v="446.69121140142516"/>
    <x v="1"/>
    <n v="2893"/>
    <n v="65.004147943311438"/>
    <x v="0"/>
    <s v="CAD"/>
    <n v="1322114400"/>
    <n v="1323324000"/>
    <x v="642"/>
    <d v="2011-12-08T06:00:00"/>
    <n v="15"/>
    <b v="0"/>
    <b v="0"/>
    <s v="technology/wearables"/>
    <x v="2"/>
    <x v="8"/>
  </r>
  <r>
    <n v="699"/>
    <s v="King Inc"/>
    <s v="Ergonomic dedicated focus group"/>
    <n v="7400"/>
    <n v="6245"/>
    <n v="84.391891891891888"/>
    <x v="0"/>
    <n v="56"/>
    <n v="111.51785714285714"/>
    <x v="1"/>
    <s v="USD"/>
    <n v="1561438800"/>
    <n v="1561525200"/>
    <x v="230"/>
    <d v="2019-06-26T05:00:00"/>
    <n v="2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x v="67"/>
    <d v="2010-02-09T06:00:00"/>
    <n v="16"/>
    <b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n v="820"/>
    <n v="110.99268292682927"/>
    <x v="1"/>
    <s v="USD"/>
    <n v="1301202000"/>
    <n v="1301806800"/>
    <x v="643"/>
    <d v="2011-04-03T05:00:00"/>
    <n v="8"/>
    <b v="1"/>
    <b v="0"/>
    <s v="theater/plays"/>
    <x v="3"/>
    <x v="3"/>
  </r>
  <r>
    <n v="702"/>
    <s v="Sims-Gross"/>
    <s v="Object-based attitude-oriented analyzer"/>
    <n v="8700"/>
    <n v="4710"/>
    <n v="54.137931034482762"/>
    <x v="0"/>
    <n v="83"/>
    <n v="56.746987951807228"/>
    <x v="1"/>
    <s v="USD"/>
    <n v="1374469200"/>
    <n v="1374901200"/>
    <x v="644"/>
    <d v="2013-07-27T05:00:00"/>
    <n v="6"/>
    <b v="0"/>
    <b v="0"/>
    <s v="technology/wearables"/>
    <x v="2"/>
    <x v="8"/>
  </r>
  <r>
    <n v="703"/>
    <s v="Perez Group"/>
    <s v="Cross-platform tertiary hub"/>
    <n v="63400"/>
    <n v="197728"/>
    <n v="311.87381703470032"/>
    <x v="1"/>
    <n v="2038"/>
    <n v="97.020608439646708"/>
    <x v="1"/>
    <s v="USD"/>
    <n v="1334984400"/>
    <n v="1336453200"/>
    <x v="645"/>
    <d v="2012-05-08T05:00:00"/>
    <n v="18"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3"/>
    <x v="1"/>
    <n v="116"/>
    <n v="92.08620689655173"/>
    <x v="1"/>
    <s v="USD"/>
    <n v="1467608400"/>
    <n v="1468904400"/>
    <x v="646"/>
    <d v="2016-07-19T05:00:00"/>
    <n v="16"/>
    <b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n v="2025"/>
    <n v="82.986666666666665"/>
    <x v="4"/>
    <s v="GBP"/>
    <n v="1386741600"/>
    <n v="1387087200"/>
    <x v="626"/>
    <d v="2013-12-15T06:00:00"/>
    <n v="5"/>
    <b v="0"/>
    <b v="0"/>
    <s v="publishing/nonfiction"/>
    <x v="5"/>
    <x v="9"/>
  </r>
  <r>
    <n v="706"/>
    <s v="Moreno Ltd"/>
    <s v="Customer-focused multimedia methodology"/>
    <n v="108400"/>
    <n v="138586"/>
    <n v="127.84686346863468"/>
    <x v="1"/>
    <n v="1345"/>
    <n v="103.03791821561339"/>
    <x v="2"/>
    <s v="AUD"/>
    <n v="1546754400"/>
    <n v="1547445600"/>
    <x v="647"/>
    <d v="2019-01-14T06:00:00"/>
    <n v="9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n v="168"/>
    <n v="68.922619047619051"/>
    <x v="1"/>
    <s v="USD"/>
    <n v="1544248800"/>
    <n v="1547359200"/>
    <x v="159"/>
    <d v="2019-01-13T06:00:00"/>
    <n v="37"/>
    <b v="0"/>
    <b v="0"/>
    <s v="film &amp; video/drama"/>
    <x v="4"/>
    <x v="6"/>
  </r>
  <r>
    <n v="708"/>
    <s v="Ortega LLC"/>
    <s v="Secured bifurcated intranet"/>
    <n v="1700"/>
    <n v="12020"/>
    <n v="707.05882352941171"/>
    <x v="1"/>
    <n v="137"/>
    <n v="87.737226277372258"/>
    <x v="5"/>
    <s v="CHF"/>
    <n v="1495429200"/>
    <n v="1496293200"/>
    <x v="648"/>
    <d v="2017-06-01T05:00:00"/>
    <n v="11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n v="186"/>
    <n v="75.021505376344081"/>
    <x v="6"/>
    <s v="EUR"/>
    <n v="1334811600"/>
    <n v="1335416400"/>
    <x v="267"/>
    <d v="2012-04-26T05:00:00"/>
    <n v="8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n v="125"/>
    <n v="50.863999999999997"/>
    <x v="1"/>
    <s v="USD"/>
    <n v="1531544400"/>
    <n v="1532149200"/>
    <x v="649"/>
    <d v="2018-07-21T05:00:00"/>
    <n v="8"/>
    <b v="0"/>
    <b v="1"/>
    <s v="theater/plays"/>
    <x v="3"/>
    <x v="3"/>
  </r>
  <r>
    <n v="711"/>
    <s v="Anderson LLC"/>
    <s v="Customizable full-range artificial intelligence"/>
    <n v="6200"/>
    <n v="1260"/>
    <n v="20.322580645161292"/>
    <x v="0"/>
    <n v="14"/>
    <n v="90"/>
    <x v="6"/>
    <s v="EUR"/>
    <n v="1453615200"/>
    <n v="1453788000"/>
    <x v="248"/>
    <d v="2016-01-26T06:00:00"/>
    <n v="3"/>
    <b v="1"/>
    <b v="1"/>
    <s v="theater/plays"/>
    <x v="3"/>
    <x v="3"/>
  </r>
  <r>
    <n v="712"/>
    <s v="Garza-Bryant"/>
    <s v="Programmable leadingedge contingency"/>
    <n v="800"/>
    <n v="14725"/>
    <n v="1840.625"/>
    <x v="1"/>
    <n v="202"/>
    <n v="72.896039603960389"/>
    <x v="1"/>
    <s v="USD"/>
    <n v="1467954000"/>
    <n v="1471496400"/>
    <x v="571"/>
    <d v="2016-08-18T05:00:00"/>
    <n v="42"/>
    <b v="0"/>
    <b v="0"/>
    <s v="theater/plays"/>
    <x v="3"/>
    <x v="3"/>
  </r>
  <r>
    <n v="713"/>
    <s v="Mays LLC"/>
    <s v="Multi-layered global groupware"/>
    <n v="6900"/>
    <n v="11174"/>
    <n v="161.94202898550725"/>
    <x v="1"/>
    <n v="103"/>
    <n v="108.48543689320388"/>
    <x v="1"/>
    <s v="USD"/>
    <n v="1471842000"/>
    <n v="1472878800"/>
    <x v="650"/>
    <d v="2016-09-03T05:00:00"/>
    <n v="13"/>
    <b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n v="1785"/>
    <n v="101.98095238095237"/>
    <x v="1"/>
    <s v="USD"/>
    <n v="1408424400"/>
    <n v="1408510800"/>
    <x v="1"/>
    <d v="2014-08-20T05:00:00"/>
    <n v="2"/>
    <b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n v="656"/>
    <n v="44.009146341463413"/>
    <x v="1"/>
    <s v="USD"/>
    <n v="1281157200"/>
    <n v="1281589200"/>
    <x v="651"/>
    <d v="2010-08-12T05:00:00"/>
    <n v="6"/>
    <b v="0"/>
    <b v="0"/>
    <s v="games/mobile games"/>
    <x v="6"/>
    <x v="20"/>
  </r>
  <r>
    <n v="716"/>
    <s v="Tapia, Kramer and Hicks"/>
    <s v="Advanced modular moderator"/>
    <n v="2000"/>
    <n v="10353"/>
    <n v="517.65"/>
    <x v="1"/>
    <n v="157"/>
    <n v="65.942675159235662"/>
    <x v="1"/>
    <s v="USD"/>
    <n v="1373432400"/>
    <n v="1375851600"/>
    <x v="652"/>
    <d v="2013-08-07T05:00:00"/>
    <n v="29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n v="555"/>
    <n v="24.987387387387386"/>
    <x v="1"/>
    <s v="USD"/>
    <n v="1313989200"/>
    <n v="1315803600"/>
    <x v="653"/>
    <d v="2011-09-12T05:00:00"/>
    <n v="22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n v="297"/>
    <n v="28.003367003367003"/>
    <x v="1"/>
    <s v="USD"/>
    <n v="1371445200"/>
    <n v="1373691600"/>
    <x v="654"/>
    <d v="2013-07-13T05:00:00"/>
    <n v="27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29268292682926"/>
    <x v="1"/>
    <s v="USD"/>
    <n v="1338267600"/>
    <n v="1339218000"/>
    <x v="655"/>
    <d v="2012-06-09T05:00:00"/>
    <n v="12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n v="38"/>
    <n v="84.921052631578945"/>
    <x v="3"/>
    <s v="DKK"/>
    <n v="1519192800"/>
    <n v="1520402400"/>
    <x v="656"/>
    <d v="2018-03-07T06:00:00"/>
    <n v="15"/>
    <b v="0"/>
    <b v="1"/>
    <s v="theater/plays"/>
    <x v="3"/>
    <x v="3"/>
  </r>
  <r>
    <n v="721"/>
    <s v="Dominguez-Owens"/>
    <s v="Open-architected systematic intranet"/>
    <n v="123600"/>
    <n v="5429"/>
    <n v="4.3923948220064721"/>
    <x v="3"/>
    <n v="60"/>
    <n v="90.483333333333334"/>
    <x v="1"/>
    <s v="USD"/>
    <n v="1522818000"/>
    <n v="1523336400"/>
    <x v="657"/>
    <d v="2018-04-10T05:00:00"/>
    <n v="7"/>
    <b v="0"/>
    <b v="0"/>
    <s v="music/rock"/>
    <x v="1"/>
    <x v="1"/>
  </r>
  <r>
    <n v="722"/>
    <s v="Thomas-Simmons"/>
    <s v="Proactive 24hour frame"/>
    <n v="48500"/>
    <n v="75906"/>
    <n v="156.50721649484535"/>
    <x v="1"/>
    <n v="3036"/>
    <n v="25.00197628458498"/>
    <x v="1"/>
    <s v="USD"/>
    <n v="1509948000"/>
    <n v="1512280800"/>
    <x v="265"/>
    <d v="2017-12-03T06:00:00"/>
    <n v="28"/>
    <b v="0"/>
    <b v="0"/>
    <s v="film &amp; video/documentary"/>
    <x v="4"/>
    <x v="4"/>
  </r>
  <r>
    <n v="723"/>
    <s v="Beck-Knight"/>
    <s v="Exclusive fresh-thinking model"/>
    <n v="4900"/>
    <n v="13250"/>
    <n v="270.40816326530614"/>
    <x v="1"/>
    <n v="144"/>
    <n v="92.013888888888886"/>
    <x v="2"/>
    <s v="AUD"/>
    <n v="1456898400"/>
    <n v="1458709200"/>
    <x v="658"/>
    <d v="2016-03-23T05:00:00"/>
    <n v="22"/>
    <b v="0"/>
    <b v="0"/>
    <s v="theater/plays"/>
    <x v="3"/>
    <x v="3"/>
  </r>
  <r>
    <n v="724"/>
    <s v="Mccoy Ltd"/>
    <s v="Business-focused encompassing intranet"/>
    <n v="8400"/>
    <n v="11261"/>
    <n v="134.0595238095238"/>
    <x v="1"/>
    <n v="121"/>
    <n v="93.066115702479337"/>
    <x v="4"/>
    <s v="GBP"/>
    <n v="1413954000"/>
    <n v="1414126800"/>
    <x v="659"/>
    <d v="2014-10-24T05:00:00"/>
    <n v="3"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n v="1596"/>
    <n v="61.008145363408524"/>
    <x v="1"/>
    <s v="USD"/>
    <n v="1416031200"/>
    <n v="1416204000"/>
    <x v="660"/>
    <d v="2014-11-17T06:00:00"/>
    <n v="3"/>
    <b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n v="524"/>
    <n v="92.036259541984734"/>
    <x v="1"/>
    <s v="USD"/>
    <n v="1287982800"/>
    <n v="1288501200"/>
    <x v="661"/>
    <d v="2010-10-31T05:00:00"/>
    <n v="7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2596685082873"/>
    <x v="1"/>
    <s v="USD"/>
    <n v="1547964000"/>
    <n v="1552971600"/>
    <x v="4"/>
    <d v="2019-03-19T05:00:00"/>
    <n v="59"/>
    <b v="0"/>
    <b v="0"/>
    <s v="technology/web"/>
    <x v="2"/>
    <x v="2"/>
  </r>
  <r>
    <n v="728"/>
    <s v="Stewart Inc"/>
    <s v="Versatile mission-critical knowledgebase"/>
    <n v="4200"/>
    <n v="735"/>
    <n v="17.5"/>
    <x v="0"/>
    <n v="10"/>
    <n v="73.5"/>
    <x v="1"/>
    <s v="USD"/>
    <n v="1464152400"/>
    <n v="1465102800"/>
    <x v="662"/>
    <d v="2016-06-05T05:00:00"/>
    <n v="12"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n v="122"/>
    <n v="85.221311475409834"/>
    <x v="1"/>
    <s v="USD"/>
    <n v="1359957600"/>
    <n v="1360130400"/>
    <x v="663"/>
    <d v="2013-02-06T06:00:00"/>
    <n v="3"/>
    <b v="0"/>
    <b v="0"/>
    <s v="film &amp; video/drama"/>
    <x v="4"/>
    <x v="6"/>
  </r>
  <r>
    <n v="730"/>
    <s v="Carson PLC"/>
    <s v="Visionary system-worthy attitude"/>
    <n v="28800"/>
    <n v="118847"/>
    <n v="412.66319444444446"/>
    <x v="1"/>
    <n v="1071"/>
    <n v="110.96825396825396"/>
    <x v="0"/>
    <s v="CAD"/>
    <n v="1432357200"/>
    <n v="1432875600"/>
    <x v="664"/>
    <d v="2015-05-29T05:00:00"/>
    <n v="7"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n v="219"/>
    <n v="32.968036529680369"/>
    <x v="1"/>
    <s v="USD"/>
    <n v="1500786000"/>
    <n v="1500872400"/>
    <x v="665"/>
    <d v="2017-07-24T05:00:00"/>
    <n v="2"/>
    <b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n v="1121"/>
    <n v="96.005352363960753"/>
    <x v="1"/>
    <s v="USD"/>
    <n v="1490158800"/>
    <n v="1492146000"/>
    <x v="666"/>
    <d v="2017-04-14T05:00:00"/>
    <n v="24"/>
    <b v="0"/>
    <b v="1"/>
    <s v="music/rock"/>
    <x v="1"/>
    <x v="1"/>
  </r>
  <r>
    <n v="733"/>
    <s v="Marquez-Kerr"/>
    <s v="Automated hybrid orchestration"/>
    <n v="15800"/>
    <n v="83267"/>
    <n v="527.00632911392404"/>
    <x v="1"/>
    <n v="980"/>
    <n v="84.96632653061225"/>
    <x v="1"/>
    <s v="USD"/>
    <n v="1406178000"/>
    <n v="1407301200"/>
    <x v="43"/>
    <d v="2014-08-06T05:00:00"/>
    <n v="14"/>
    <b v="0"/>
    <b v="0"/>
    <s v="music/metal"/>
    <x v="1"/>
    <x v="16"/>
  </r>
  <r>
    <n v="734"/>
    <s v="Stone PLC"/>
    <s v="Exclusive 5thgeneration leverage"/>
    <n v="4200"/>
    <n v="13404"/>
    <n v="319.14285714285717"/>
    <x v="1"/>
    <n v="536"/>
    <n v="25.007462686567163"/>
    <x v="1"/>
    <s v="USD"/>
    <n v="1485583200"/>
    <n v="1486620000"/>
    <x v="667"/>
    <d v="2017-02-09T06:00:00"/>
    <n v="13"/>
    <b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n v="1991"/>
    <n v="65.998995479658461"/>
    <x v="1"/>
    <s v="USD"/>
    <n v="1459314000"/>
    <n v="1459918800"/>
    <x v="668"/>
    <d v="2016-04-06T05:00:00"/>
    <n v="8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n v="29"/>
    <n v="87.34482758620689"/>
    <x v="1"/>
    <s v="USD"/>
    <n v="1424412000"/>
    <n v="1424757600"/>
    <x v="669"/>
    <d v="2015-02-24T06:00:00"/>
    <n v="5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n v="180"/>
    <n v="27.933333333333334"/>
    <x v="1"/>
    <s v="USD"/>
    <n v="1478844000"/>
    <n v="1479880800"/>
    <x v="670"/>
    <d v="2016-11-23T06:00:00"/>
    <n v="13"/>
    <b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n v="15"/>
    <n v="103.8"/>
    <x v="1"/>
    <s v="USD"/>
    <n v="1416117600"/>
    <n v="1418018400"/>
    <x v="671"/>
    <d v="2014-12-08T06:00:00"/>
    <n v="23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37172774869111"/>
    <x v="1"/>
    <s v="USD"/>
    <n v="1340946000"/>
    <n v="1341032400"/>
    <x v="672"/>
    <d v="2012-06-30T05:00:00"/>
    <n v="2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n v="16"/>
    <n v="99.5"/>
    <x v="1"/>
    <s v="USD"/>
    <n v="1486101600"/>
    <n v="1486360800"/>
    <x v="673"/>
    <d v="2017-02-06T06:00:00"/>
    <n v="4"/>
    <b v="0"/>
    <b v="0"/>
    <s v="theater/plays"/>
    <x v="3"/>
    <x v="3"/>
  </r>
  <r>
    <n v="741"/>
    <s v="Garcia Ltd"/>
    <s v="Balanced mobile alliance"/>
    <n v="1200"/>
    <n v="14150"/>
    <n v="1179.1666666666667"/>
    <x v="1"/>
    <n v="130"/>
    <n v="108.84615384615384"/>
    <x v="1"/>
    <s v="USD"/>
    <n v="1274590800"/>
    <n v="1274677200"/>
    <x v="674"/>
    <d v="2010-05-24T05:00:00"/>
    <n v="2"/>
    <b v="0"/>
    <b v="0"/>
    <s v="theater/plays"/>
    <x v="3"/>
    <x v="3"/>
  </r>
  <r>
    <n v="742"/>
    <s v="West-Stevens"/>
    <s v="Reactive solution-oriented groupware"/>
    <n v="1200"/>
    <n v="13513"/>
    <n v="1126.0833333333333"/>
    <x v="1"/>
    <n v="122"/>
    <n v="110.76229508196721"/>
    <x v="1"/>
    <s v="USD"/>
    <n v="1263880800"/>
    <n v="1267509600"/>
    <x v="675"/>
    <d v="2010-03-02T06:00:00"/>
    <n v="43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n v="17"/>
    <n v="29.647058823529413"/>
    <x v="1"/>
    <s v="USD"/>
    <n v="1445403600"/>
    <n v="1445922000"/>
    <x v="676"/>
    <d v="2015-10-27T05:00:00"/>
    <n v="7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428571428571"/>
    <x v="1"/>
    <s v="USD"/>
    <n v="1533877200"/>
    <n v="1534050000"/>
    <x v="342"/>
    <d v="2018-08-12T05:00:00"/>
    <n v="3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n v="34"/>
    <n v="61.5"/>
    <x v="1"/>
    <s v="USD"/>
    <n v="1275195600"/>
    <n v="1277528400"/>
    <x v="677"/>
    <d v="2010-06-26T05:00:00"/>
    <n v="28"/>
    <b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n v="3388"/>
    <n v="35"/>
    <x v="1"/>
    <s v="USD"/>
    <n v="1318136400"/>
    <n v="1318568400"/>
    <x v="678"/>
    <d v="2011-10-14T05:00:00"/>
    <n v="6"/>
    <b v="0"/>
    <b v="0"/>
    <s v="technology/web"/>
    <x v="2"/>
    <x v="2"/>
  </r>
  <r>
    <n v="747"/>
    <s v="Greer and Sons"/>
    <s v="Secured clear-thinking intranet"/>
    <n v="4900"/>
    <n v="11214"/>
    <n v="228.85714285714286"/>
    <x v="1"/>
    <n v="280"/>
    <n v="40.049999999999997"/>
    <x v="1"/>
    <s v="USD"/>
    <n v="1283403600"/>
    <n v="1284354000"/>
    <x v="679"/>
    <d v="2010-09-13T05:00:00"/>
    <n v="12"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n v="614"/>
    <n v="110.97231270358306"/>
    <x v="1"/>
    <s v="USD"/>
    <n v="1267423200"/>
    <n v="1269579600"/>
    <x v="680"/>
    <d v="2010-03-26T05:00:00"/>
    <n v="26"/>
    <b v="0"/>
    <b v="1"/>
    <s v="film &amp; video/animation"/>
    <x v="4"/>
    <x v="10"/>
  </r>
  <r>
    <n v="749"/>
    <s v="Hunter-Logan"/>
    <s v="Down-sized needs-based task-force"/>
    <n v="8600"/>
    <n v="13527"/>
    <n v="157.2906976744186"/>
    <x v="1"/>
    <n v="366"/>
    <n v="36.959016393442624"/>
    <x v="6"/>
    <s v="EUR"/>
    <n v="1412744400"/>
    <n v="1413781200"/>
    <x v="681"/>
    <d v="2014-10-20T05:00:00"/>
    <n v="13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x v="682"/>
    <d v="2010-07-26T05:00:00"/>
    <n v="26"/>
    <b v="0"/>
    <b v="0"/>
    <s v="music/electric music"/>
    <x v="1"/>
    <x v="5"/>
  </r>
  <r>
    <n v="751"/>
    <s v="Lane-Barber"/>
    <s v="Universal value-added moderator"/>
    <n v="3600"/>
    <n v="8363"/>
    <n v="232.30555555555554"/>
    <x v="1"/>
    <n v="270"/>
    <n v="30.974074074074075"/>
    <x v="1"/>
    <s v="USD"/>
    <n v="1458190800"/>
    <n v="1459486800"/>
    <x v="683"/>
    <d v="2016-04-01T05:00:00"/>
    <n v="16"/>
    <b v="1"/>
    <b v="1"/>
    <s v="publishing/nonfiction"/>
    <x v="5"/>
    <x v="9"/>
  </r>
  <r>
    <n v="752"/>
    <s v="Lowery Group"/>
    <s v="Sharable motivating emulation"/>
    <n v="5800"/>
    <n v="5362"/>
    <n v="92.448275862068968"/>
    <x v="3"/>
    <n v="114"/>
    <n v="47.035087719298247"/>
    <x v="1"/>
    <s v="USD"/>
    <n v="1280984400"/>
    <n v="1282539600"/>
    <x v="684"/>
    <d v="2010-08-23T05:00:00"/>
    <n v="19"/>
    <b v="0"/>
    <b v="1"/>
    <s v="theater/plays"/>
    <x v="3"/>
    <x v="3"/>
  </r>
  <r>
    <n v="753"/>
    <s v="Guerrero-Griffin"/>
    <s v="Networked web-enabled product"/>
    <n v="4700"/>
    <n v="12065"/>
    <n v="256.70212765957444"/>
    <x v="1"/>
    <n v="137"/>
    <n v="88.065693430656935"/>
    <x v="1"/>
    <s v="USD"/>
    <n v="1274590800"/>
    <n v="1275886800"/>
    <x v="674"/>
    <d v="2010-06-07T05:00:00"/>
    <n v="16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n v="3205"/>
    <n v="37.005616224648989"/>
    <x v="1"/>
    <s v="USD"/>
    <n v="1351400400"/>
    <n v="1355983200"/>
    <x v="685"/>
    <d v="2012-12-20T06:00:00"/>
    <n v="54"/>
    <b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n v="288"/>
    <n v="26.027777777777779"/>
    <x v="3"/>
    <s v="DKK"/>
    <n v="1514354400"/>
    <n v="1515391200"/>
    <x v="605"/>
    <d v="2018-01-08T06:00:00"/>
    <n v="13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n v="148"/>
    <n v="67.817567567567565"/>
    <x v="1"/>
    <s v="USD"/>
    <n v="1421733600"/>
    <n v="1422252000"/>
    <x v="686"/>
    <d v="2015-01-26T06:00:00"/>
    <n v="7"/>
    <b v="0"/>
    <b v="0"/>
    <s v="theater/plays"/>
    <x v="3"/>
    <x v="3"/>
  </r>
  <r>
    <n v="757"/>
    <s v="Callahan-Gilbert"/>
    <s v="Profit-focused motivating function"/>
    <n v="1400"/>
    <n v="5696"/>
    <n v="406.85714285714283"/>
    <x v="1"/>
    <n v="114"/>
    <n v="49.964912280701753"/>
    <x v="1"/>
    <s v="USD"/>
    <n v="1305176400"/>
    <n v="1305522000"/>
    <x v="687"/>
    <d v="2011-05-16T05:00:00"/>
    <n v="5"/>
    <b v="0"/>
    <b v="0"/>
    <s v="film &amp; video/drama"/>
    <x v="4"/>
    <x v="6"/>
  </r>
  <r>
    <n v="758"/>
    <s v="Logan-Miranda"/>
    <s v="Proactive systemic firmware"/>
    <n v="29600"/>
    <n v="167005"/>
    <n v="564.20608108108104"/>
    <x v="1"/>
    <n v="1518"/>
    <n v="110.01646903820817"/>
    <x v="0"/>
    <s v="CAD"/>
    <n v="1414126800"/>
    <n v="1414904400"/>
    <x v="688"/>
    <d v="2014-11-02T05:00:00"/>
    <n v="10"/>
    <b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n v="1274"/>
    <n v="89.964678178963894"/>
    <x v="1"/>
    <s v="USD"/>
    <n v="1517810400"/>
    <n v="1520402400"/>
    <x v="689"/>
    <d v="2018-03-07T06:00:00"/>
    <n v="31"/>
    <b v="0"/>
    <b v="0"/>
    <s v="music/electric music"/>
    <x v="1"/>
    <x v="5"/>
  </r>
  <r>
    <n v="760"/>
    <s v="Smith-Kennedy"/>
    <s v="Virtual heuristic hub"/>
    <n v="48300"/>
    <n v="16592"/>
    <n v="34.351966873706004"/>
    <x v="0"/>
    <n v="210"/>
    <n v="79.009523809523813"/>
    <x v="6"/>
    <s v="EUR"/>
    <n v="1564635600"/>
    <n v="1567141200"/>
    <x v="690"/>
    <d v="2019-08-30T05:00:00"/>
    <n v="30"/>
    <b v="0"/>
    <b v="1"/>
    <s v="games/video games"/>
    <x v="6"/>
    <x v="11"/>
  </r>
  <r>
    <n v="761"/>
    <s v="Mitchell-Lee"/>
    <s v="Customizable leadingedge model"/>
    <n v="2200"/>
    <n v="14420"/>
    <n v="655.4545454545455"/>
    <x v="1"/>
    <n v="166"/>
    <n v="86.867469879518069"/>
    <x v="1"/>
    <s v="USD"/>
    <n v="1500699600"/>
    <n v="1501131600"/>
    <x v="691"/>
    <d v="2017-07-27T05:00:00"/>
    <n v="6"/>
    <b v="0"/>
    <b v="0"/>
    <s v="music/rock"/>
    <x v="1"/>
    <x v="1"/>
  </r>
  <r>
    <n v="762"/>
    <s v="Davis Ltd"/>
    <s v="Upgradable uniform service-desk"/>
    <n v="3500"/>
    <n v="6204"/>
    <n v="177.25714285714287"/>
    <x v="1"/>
    <n v="100"/>
    <n v="62.04"/>
    <x v="2"/>
    <s v="AUD"/>
    <n v="1354082400"/>
    <n v="1355032800"/>
    <x v="692"/>
    <d v="2012-12-09T06:00:00"/>
    <n v="12"/>
    <b v="0"/>
    <b v="0"/>
    <s v="music/jazz"/>
    <x v="1"/>
    <x v="17"/>
  </r>
  <r>
    <n v="763"/>
    <s v="Rowland PLC"/>
    <s v="Inverse client-driven product"/>
    <n v="5600"/>
    <n v="6338"/>
    <n v="113.17857142857143"/>
    <x v="1"/>
    <n v="235"/>
    <n v="26.970212765957445"/>
    <x v="1"/>
    <s v="USD"/>
    <n v="1336453200"/>
    <n v="1339477200"/>
    <x v="693"/>
    <d v="2012-06-12T05:00:00"/>
    <n v="36"/>
    <b v="0"/>
    <b v="1"/>
    <s v="theater/plays"/>
    <x v="3"/>
    <x v="3"/>
  </r>
  <r>
    <n v="764"/>
    <s v="Shaffer-Mason"/>
    <s v="Managed bandwidth-monitored system engine"/>
    <n v="1100"/>
    <n v="8010"/>
    <n v="728.18181818181813"/>
    <x v="1"/>
    <n v="148"/>
    <n v="54.121621621621621"/>
    <x v="1"/>
    <s v="USD"/>
    <n v="1305262800"/>
    <n v="1305954000"/>
    <x v="694"/>
    <d v="2011-05-21T05:00:00"/>
    <n v="9"/>
    <b v="0"/>
    <b v="0"/>
    <s v="music/rock"/>
    <x v="1"/>
    <x v="1"/>
  </r>
  <r>
    <n v="765"/>
    <s v="Matthews LLC"/>
    <s v="Advanced transitional help-desk"/>
    <n v="3900"/>
    <n v="8125"/>
    <n v="208.33333333333334"/>
    <x v="1"/>
    <n v="198"/>
    <n v="41.035353535353536"/>
    <x v="1"/>
    <s v="USD"/>
    <n v="1492232400"/>
    <n v="1494392400"/>
    <x v="695"/>
    <d v="2017-05-10T05:00:00"/>
    <n v="26"/>
    <b v="1"/>
    <b v="1"/>
    <s v="music/indie rock"/>
    <x v="1"/>
    <x v="7"/>
  </r>
  <r>
    <n v="766"/>
    <s v="Montgomery-Castro"/>
    <s v="De-engineered disintermediate encryption"/>
    <n v="43800"/>
    <n v="13653"/>
    <n v="31.171232876712327"/>
    <x v="0"/>
    <n v="248"/>
    <n v="55.052419354838712"/>
    <x v="2"/>
    <s v="AUD"/>
    <n v="1537333200"/>
    <n v="1537419600"/>
    <x v="123"/>
    <d v="2018-09-20T05:00:00"/>
    <n v="2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09"/>
    <x v="0"/>
    <n v="513"/>
    <n v="107.93762183235867"/>
    <x v="1"/>
    <s v="USD"/>
    <n v="1444107600"/>
    <n v="1447999200"/>
    <x v="696"/>
    <d v="2015-11-20T06:00:00"/>
    <n v="46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x v="626"/>
    <d v="2013-12-26T06:00:00"/>
    <n v="16"/>
    <b v="0"/>
    <b v="0"/>
    <s v="theater/plays"/>
    <x v="3"/>
    <x v="3"/>
  </r>
  <r>
    <n v="769"/>
    <s v="Johnson-Morales"/>
    <s v="Devolved 24hour forecast"/>
    <n v="125600"/>
    <n v="109106"/>
    <n v="86.867834394904463"/>
    <x v="0"/>
    <n v="3410"/>
    <n v="31.995894428152493"/>
    <x v="1"/>
    <s v="USD"/>
    <n v="1376542800"/>
    <n v="1378789200"/>
    <x v="697"/>
    <d v="2013-09-10T05:00:00"/>
    <n v="27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n v="216"/>
    <n v="53.898148148148145"/>
    <x v="6"/>
    <s v="EUR"/>
    <n v="1397451600"/>
    <n v="1398056400"/>
    <x v="698"/>
    <d v="2014-04-21T05:00:00"/>
    <n v="8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n v="26"/>
    <n v="106.5"/>
    <x v="1"/>
    <s v="USD"/>
    <n v="1548482400"/>
    <n v="1550815200"/>
    <x v="699"/>
    <d v="2019-02-22T06:00:00"/>
    <n v="28"/>
    <b v="0"/>
    <b v="0"/>
    <s v="theater/plays"/>
    <x v="3"/>
    <x v="3"/>
  </r>
  <r>
    <n v="772"/>
    <s v="Johnson-Pace"/>
    <s v="Persistent 3rdgeneration moratorium"/>
    <n v="149600"/>
    <n v="169586"/>
    <n v="113.3596256684492"/>
    <x v="1"/>
    <n v="5139"/>
    <n v="32.999805409612762"/>
    <x v="1"/>
    <s v="USD"/>
    <n v="1549692000"/>
    <n v="1550037600"/>
    <x v="700"/>
    <d v="2019-02-13T06:00:00"/>
    <n v="5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n v="2353"/>
    <n v="43.00254993625159"/>
    <x v="1"/>
    <s v="USD"/>
    <n v="1492059600"/>
    <n v="1492923600"/>
    <x v="701"/>
    <d v="2017-04-23T05:00:00"/>
    <n v="11"/>
    <b v="0"/>
    <b v="0"/>
    <s v="theater/plays"/>
    <x v="3"/>
    <x v="3"/>
  </r>
  <r>
    <n v="774"/>
    <s v="Gonzalez-Snow"/>
    <s v="Polarized user-facing interface"/>
    <n v="5000"/>
    <n v="6775"/>
    <n v="135.5"/>
    <x v="1"/>
    <n v="78"/>
    <n v="86.858974358974365"/>
    <x v="6"/>
    <s v="EUR"/>
    <n v="1463979600"/>
    <n v="1467522000"/>
    <x v="702"/>
    <d v="2016-07-03T05:00:00"/>
    <n v="42"/>
    <b v="0"/>
    <b v="0"/>
    <s v="technology/web"/>
    <x v="2"/>
    <x v="2"/>
  </r>
  <r>
    <n v="775"/>
    <s v="Murphy LLC"/>
    <s v="Customer-focused non-volatile framework"/>
    <n v="9400"/>
    <n v="968"/>
    <n v="10.297872340425531"/>
    <x v="0"/>
    <n v="10"/>
    <n v="96.8"/>
    <x v="1"/>
    <s v="USD"/>
    <n v="1415253600"/>
    <n v="1416117600"/>
    <x v="703"/>
    <d v="2014-11-16T06:00:00"/>
    <n v="11"/>
    <b v="0"/>
    <b v="0"/>
    <s v="music/rock"/>
    <x v="1"/>
    <x v="1"/>
  </r>
  <r>
    <n v="776"/>
    <s v="Taylor-Rowe"/>
    <s v="Synchronized multimedia frame"/>
    <n v="110800"/>
    <n v="72623"/>
    <n v="65.544223826714799"/>
    <x v="0"/>
    <n v="2201"/>
    <n v="32.995456610631528"/>
    <x v="1"/>
    <s v="USD"/>
    <n v="1562216400"/>
    <n v="1563771600"/>
    <x v="704"/>
    <d v="2019-07-22T05:00:00"/>
    <n v="19"/>
    <b v="0"/>
    <b v="0"/>
    <s v="theater/plays"/>
    <x v="3"/>
    <x v="3"/>
  </r>
  <r>
    <n v="777"/>
    <s v="Henderson Ltd"/>
    <s v="Open-architected stable algorithm"/>
    <n v="93800"/>
    <n v="45987"/>
    <n v="49.026652452025587"/>
    <x v="0"/>
    <n v="676"/>
    <n v="68.028106508875737"/>
    <x v="1"/>
    <s v="USD"/>
    <n v="1316754000"/>
    <n v="1319259600"/>
    <x v="431"/>
    <d v="2011-10-22T05:00:00"/>
    <n v="30"/>
    <b v="0"/>
    <b v="0"/>
    <s v="theater/plays"/>
    <x v="3"/>
    <x v="3"/>
  </r>
  <r>
    <n v="778"/>
    <s v="Moss-Guzman"/>
    <s v="Cross-platform optimizing website"/>
    <n v="1300"/>
    <n v="10243"/>
    <n v="787.92307692307691"/>
    <x v="1"/>
    <n v="174"/>
    <n v="58.867816091954026"/>
    <x v="5"/>
    <s v="CHF"/>
    <n v="1313211600"/>
    <n v="1313643600"/>
    <x v="705"/>
    <d v="2011-08-18T05:00:00"/>
    <n v="6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n v="831"/>
    <n v="105.04572803850782"/>
    <x v="1"/>
    <s v="USD"/>
    <n v="1439528400"/>
    <n v="1440306000"/>
    <x v="706"/>
    <d v="2015-08-23T05:00:00"/>
    <n v="10"/>
    <b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n v="164"/>
    <n v="33.054878048780488"/>
    <x v="1"/>
    <s v="USD"/>
    <n v="1469163600"/>
    <n v="1470805200"/>
    <x v="707"/>
    <d v="2016-08-10T05:00:00"/>
    <n v="20"/>
    <b v="0"/>
    <b v="1"/>
    <s v="film &amp; video/drama"/>
    <x v="4"/>
    <x v="6"/>
  </r>
  <r>
    <n v="781"/>
    <s v="Thomas Ltd"/>
    <s v="Cross-group interactive architecture"/>
    <n v="8700"/>
    <n v="4414"/>
    <n v="50.735632183908045"/>
    <x v="3"/>
    <n v="56"/>
    <n v="78.821428571428569"/>
    <x v="5"/>
    <s v="CHF"/>
    <n v="1288501200"/>
    <n v="1292911200"/>
    <x v="708"/>
    <d v="2010-12-21T06:00:00"/>
    <n v="52"/>
    <b v="0"/>
    <b v="0"/>
    <s v="theater/plays"/>
    <x v="3"/>
    <x v="3"/>
  </r>
  <r>
    <n v="782"/>
    <s v="Williams and Sons"/>
    <s v="Centralized asymmetric framework"/>
    <n v="5100"/>
    <n v="10981"/>
    <n v="215.31372549019608"/>
    <x v="1"/>
    <n v="161"/>
    <n v="68.204968944099377"/>
    <x v="1"/>
    <s v="USD"/>
    <n v="1298959200"/>
    <n v="1301374800"/>
    <x v="709"/>
    <d v="2011-03-29T05:00:00"/>
    <n v="29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n v="138"/>
    <n v="75.731884057971016"/>
    <x v="1"/>
    <s v="USD"/>
    <n v="1387260000"/>
    <n v="1387864800"/>
    <x v="710"/>
    <d v="2013-12-24T06:00:00"/>
    <n v="8"/>
    <b v="0"/>
    <b v="0"/>
    <s v="music/rock"/>
    <x v="1"/>
    <x v="1"/>
  </r>
  <r>
    <n v="784"/>
    <s v="Byrd Group"/>
    <s v="Profound fault-tolerant model"/>
    <n v="88900"/>
    <n v="102535"/>
    <n v="115.33745781777277"/>
    <x v="1"/>
    <n v="3308"/>
    <n v="30.996070133010882"/>
    <x v="1"/>
    <s v="USD"/>
    <n v="1457244000"/>
    <n v="1458190800"/>
    <x v="711"/>
    <d v="2016-03-17T05:00:00"/>
    <n v="12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n v="1556341200"/>
    <n v="1559278800"/>
    <x v="157"/>
    <d v="2019-05-31T05:00:00"/>
    <n v="35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n v="207"/>
    <n v="52.879227053140099"/>
    <x v="6"/>
    <s v="EUR"/>
    <n v="1522126800"/>
    <n v="1522731600"/>
    <x v="630"/>
    <d v="2018-04-03T05:00:00"/>
    <n v="8"/>
    <b v="0"/>
    <b v="1"/>
    <s v="music/jazz"/>
    <x v="1"/>
    <x v="17"/>
  </r>
  <r>
    <n v="787"/>
    <s v="Vance-Glover"/>
    <s v="Progressive coherent secured line"/>
    <n v="61200"/>
    <n v="60994"/>
    <n v="99.66339869281046"/>
    <x v="0"/>
    <n v="859"/>
    <n v="71.005820721769496"/>
    <x v="0"/>
    <s v="CAD"/>
    <n v="1305954000"/>
    <n v="1306731600"/>
    <x v="712"/>
    <d v="2011-05-30T05:00:00"/>
    <n v="10"/>
    <b v="0"/>
    <b v="0"/>
    <s v="music/rock"/>
    <x v="1"/>
    <x v="1"/>
  </r>
  <r>
    <n v="788"/>
    <s v="Joyce PLC"/>
    <s v="Synchronized directional capability"/>
    <n v="3600"/>
    <n v="3174"/>
    <n v="88.166666666666671"/>
    <x v="2"/>
    <n v="31"/>
    <n v="102.38709677419355"/>
    <x v="1"/>
    <s v="USD"/>
    <n v="1350709200"/>
    <n v="1352527200"/>
    <x v="93"/>
    <d v="2012-11-10T06:00:00"/>
    <n v="22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n v="45"/>
    <n v="74.466666666666669"/>
    <x v="1"/>
    <s v="USD"/>
    <n v="1401166800"/>
    <n v="1404363600"/>
    <x v="713"/>
    <d v="2014-07-03T05:00:00"/>
    <n v="38"/>
    <b v="0"/>
    <b v="0"/>
    <s v="theater/plays"/>
    <x v="3"/>
    <x v="3"/>
  </r>
  <r>
    <n v="790"/>
    <s v="White-Obrien"/>
    <s v="Operative local pricing structure"/>
    <n v="185900"/>
    <n v="56774"/>
    <n v="30.540075309306079"/>
    <x v="3"/>
    <n v="1113"/>
    <n v="51.009883198562441"/>
    <x v="1"/>
    <s v="USD"/>
    <n v="1266127200"/>
    <n v="1266645600"/>
    <x v="714"/>
    <d v="2010-02-20T06:00:00"/>
    <n v="7"/>
    <b v="0"/>
    <b v="0"/>
    <s v="theater/plays"/>
    <x v="3"/>
    <x v="3"/>
  </r>
  <r>
    <n v="791"/>
    <s v="Stafford, Hess and Raymond"/>
    <s v="Optional web-enabled extranet"/>
    <n v="2100"/>
    <n v="540"/>
    <n v="25.714285714285715"/>
    <x v="0"/>
    <n v="6"/>
    <n v="90"/>
    <x v="1"/>
    <s v="USD"/>
    <n v="1481436000"/>
    <n v="1482818400"/>
    <x v="715"/>
    <d v="2016-12-27T06:00:00"/>
    <n v="17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2857142857139"/>
    <x v="1"/>
    <s v="USD"/>
    <n v="1372222800"/>
    <n v="1374642000"/>
    <x v="716"/>
    <d v="2013-07-24T05:00:00"/>
    <n v="29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n v="181"/>
    <n v="72.071823204419886"/>
    <x v="5"/>
    <s v="CHF"/>
    <n v="1372136400"/>
    <n v="1372482000"/>
    <x v="448"/>
    <d v="2013-06-29T05:00:00"/>
    <n v="5"/>
    <b v="0"/>
    <b v="0"/>
    <s v="publishing/nonfiction"/>
    <x v="5"/>
    <x v="9"/>
  </r>
  <r>
    <n v="794"/>
    <s v="Welch Inc"/>
    <s v="Optional optimal website"/>
    <n v="6600"/>
    <n v="8276"/>
    <n v="125.39393939393939"/>
    <x v="1"/>
    <n v="110"/>
    <n v="75.236363636363635"/>
    <x v="1"/>
    <s v="USD"/>
    <n v="1513922400"/>
    <n v="1514959200"/>
    <x v="717"/>
    <d v="2018-01-03T06:00:00"/>
    <n v="13"/>
    <b v="0"/>
    <b v="0"/>
    <s v="music/rock"/>
    <x v="1"/>
    <x v="1"/>
  </r>
  <r>
    <n v="795"/>
    <s v="Vasquez Inc"/>
    <s v="Stand-alone asynchronous functionalities"/>
    <n v="7100"/>
    <n v="1022"/>
    <n v="14.394366197183098"/>
    <x v="0"/>
    <n v="31"/>
    <n v="32.967741935483872"/>
    <x v="1"/>
    <s v="USD"/>
    <n v="1477976400"/>
    <n v="1478235600"/>
    <x v="718"/>
    <d v="2016-11-04T05:00:00"/>
    <n v="4"/>
    <b v="0"/>
    <b v="0"/>
    <s v="film &amp; video/drama"/>
    <x v="4"/>
    <x v="6"/>
  </r>
  <r>
    <n v="796"/>
    <s v="Freeman-Ferguson"/>
    <s v="Profound full-range open system"/>
    <n v="7800"/>
    <n v="4275"/>
    <n v="54.807692307692307"/>
    <x v="0"/>
    <n v="78"/>
    <n v="54.807692307692307"/>
    <x v="1"/>
    <s v="USD"/>
    <n v="1407474000"/>
    <n v="1408078800"/>
    <x v="719"/>
    <d v="2014-08-15T05:00:00"/>
    <n v="8"/>
    <b v="0"/>
    <b v="1"/>
    <s v="games/mobile games"/>
    <x v="6"/>
    <x v="20"/>
  </r>
  <r>
    <n v="797"/>
    <s v="Houston, Moore and Rogers"/>
    <s v="Optional tangible utilization"/>
    <n v="7600"/>
    <n v="8332"/>
    <n v="109.63157894736842"/>
    <x v="1"/>
    <n v="185"/>
    <n v="45.037837837837834"/>
    <x v="1"/>
    <s v="USD"/>
    <n v="1546149600"/>
    <n v="1548136800"/>
    <x v="720"/>
    <d v="2019-01-22T06:00:00"/>
    <n v="24"/>
    <b v="0"/>
    <b v="0"/>
    <s v="technology/web"/>
    <x v="2"/>
    <x v="2"/>
  </r>
  <r>
    <n v="798"/>
    <s v="Small-Fuentes"/>
    <s v="Seamless maximized product"/>
    <n v="3400"/>
    <n v="6408"/>
    <n v="188.47058823529412"/>
    <x v="1"/>
    <n v="121"/>
    <n v="52.958677685950413"/>
    <x v="1"/>
    <s v="USD"/>
    <n v="1338440400"/>
    <n v="1340859600"/>
    <x v="721"/>
    <d v="2012-06-28T05:00:00"/>
    <n v="29"/>
    <b v="0"/>
    <b v="1"/>
    <s v="theater/plays"/>
    <x v="3"/>
    <x v="3"/>
  </r>
  <r>
    <n v="799"/>
    <s v="Reid-Day"/>
    <s v="Devolved tertiary time-frame"/>
    <n v="84500"/>
    <n v="73522"/>
    <n v="87.008284023668637"/>
    <x v="0"/>
    <n v="1225"/>
    <n v="60.017959183673469"/>
    <x v="4"/>
    <s v="GBP"/>
    <n v="1454133600"/>
    <n v="1454479200"/>
    <x v="722"/>
    <d v="2016-02-03T06:00:00"/>
    <n v="5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x v="139"/>
    <d v="2015-06-16T05:00:00"/>
    <n v="5"/>
    <b v="0"/>
    <b v="0"/>
    <s v="music/rock"/>
    <x v="1"/>
    <x v="1"/>
  </r>
  <r>
    <n v="801"/>
    <s v="Olson-Bishop"/>
    <s v="User-friendly high-level initiative"/>
    <n v="2300"/>
    <n v="4667"/>
    <n v="202.91304347826087"/>
    <x v="1"/>
    <n v="106"/>
    <n v="44.028301886792455"/>
    <x v="1"/>
    <s v="USD"/>
    <n v="1577772000"/>
    <n v="1579672800"/>
    <x v="723"/>
    <d v="2020-01-22T06:00:00"/>
    <n v="23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n v="1562216400"/>
    <n v="1562389200"/>
    <x v="704"/>
    <d v="2019-07-06T05:00:00"/>
    <n v="3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2875536480685"/>
    <x v="1"/>
    <s v="USD"/>
    <n v="1548568800"/>
    <n v="1551506400"/>
    <x v="724"/>
    <d v="2019-03-02T06:00:00"/>
    <n v="35"/>
    <b v="0"/>
    <b v="0"/>
    <s v="theater/plays"/>
    <x v="3"/>
    <x v="3"/>
  </r>
  <r>
    <n v="804"/>
    <s v="English-Mccullough"/>
    <s v="Business-focused discrete software"/>
    <n v="2600"/>
    <n v="6987"/>
    <n v="268.73076923076923"/>
    <x v="1"/>
    <n v="218"/>
    <n v="32.050458715596328"/>
    <x v="1"/>
    <s v="USD"/>
    <n v="1514872800"/>
    <n v="1516600800"/>
    <x v="725"/>
    <d v="2018-01-22T06:00:00"/>
    <n v="21"/>
    <b v="0"/>
    <b v="0"/>
    <s v="music/rock"/>
    <x v="1"/>
    <x v="1"/>
  </r>
  <r>
    <n v="805"/>
    <s v="Smith-Nguyen"/>
    <s v="Advanced intermediate Graphic Interface"/>
    <n v="9700"/>
    <n v="4932"/>
    <n v="50.845360824742265"/>
    <x v="0"/>
    <n v="67"/>
    <n v="73.611940298507463"/>
    <x v="2"/>
    <s v="AUD"/>
    <n v="1416031200"/>
    <n v="1420437600"/>
    <x v="660"/>
    <d v="2015-01-05T06:00:00"/>
    <n v="52"/>
    <b v="0"/>
    <b v="0"/>
    <s v="film &amp; video/documentary"/>
    <x v="4"/>
    <x v="4"/>
  </r>
  <r>
    <n v="806"/>
    <s v="Harmon-Madden"/>
    <s v="Adaptive holistic hub"/>
    <n v="700"/>
    <n v="8262"/>
    <n v="1180.2857142857142"/>
    <x v="1"/>
    <n v="76"/>
    <n v="108.71052631578948"/>
    <x v="1"/>
    <s v="USD"/>
    <n v="1330927200"/>
    <n v="1332997200"/>
    <x v="726"/>
    <d v="2012-03-29T05:00:00"/>
    <n v="25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7674418604651"/>
    <x v="1"/>
    <s v="USD"/>
    <n v="1571115600"/>
    <n v="1574920800"/>
    <x v="727"/>
    <d v="2019-11-28T06:00:00"/>
    <n v="45"/>
    <b v="0"/>
    <b v="1"/>
    <s v="theater/plays"/>
    <x v="3"/>
    <x v="3"/>
  </r>
  <r>
    <n v="808"/>
    <s v="Harris, Medina and Mitchell"/>
    <s v="Enhanced regional flexibility"/>
    <n v="5200"/>
    <n v="1583"/>
    <n v="30.442307692307693"/>
    <x v="0"/>
    <n v="19"/>
    <n v="83.315789473684205"/>
    <x v="1"/>
    <s v="USD"/>
    <n v="1463461200"/>
    <n v="1464930000"/>
    <x v="728"/>
    <d v="2016-06-03T05:00:00"/>
    <n v="18"/>
    <b v="0"/>
    <b v="0"/>
    <s v="food/food trucks"/>
    <x v="0"/>
    <x v="0"/>
  </r>
  <r>
    <n v="809"/>
    <s v="Williams and Sons"/>
    <s v="Public-key bottom-line algorithm"/>
    <n v="140800"/>
    <n v="88536"/>
    <n v="62.88068181818182"/>
    <x v="0"/>
    <n v="2108"/>
    <n v="42"/>
    <x v="5"/>
    <s v="CHF"/>
    <n v="1344920400"/>
    <n v="1345006800"/>
    <x v="729"/>
    <d v="2012-08-15T05:00:00"/>
    <n v="2"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n v="221"/>
    <n v="55.927601809954751"/>
    <x v="1"/>
    <s v="USD"/>
    <n v="1511848800"/>
    <n v="1512712800"/>
    <x v="730"/>
    <d v="2017-12-08T06:00:00"/>
    <n v="11"/>
    <b v="0"/>
    <b v="1"/>
    <s v="theater/plays"/>
    <x v="3"/>
    <x v="3"/>
  </r>
  <r>
    <n v="811"/>
    <s v="Page, Holt and Mack"/>
    <s v="Fundamental methodical emulation"/>
    <n v="92500"/>
    <n v="71320"/>
    <n v="77.1027027027027"/>
    <x v="0"/>
    <n v="679"/>
    <n v="105.03681885125184"/>
    <x v="1"/>
    <s v="USD"/>
    <n v="1452319200"/>
    <n v="1452492000"/>
    <x v="731"/>
    <d v="2016-01-11T06:00:00"/>
    <n v="3"/>
    <b v="0"/>
    <b v="1"/>
    <s v="games/video games"/>
    <x v="6"/>
    <x v="11"/>
  </r>
  <r>
    <n v="812"/>
    <s v="Landry Group"/>
    <s v="Expanded value-added hardware"/>
    <n v="59700"/>
    <n v="134640"/>
    <n v="225.52763819095478"/>
    <x v="1"/>
    <n v="2805"/>
    <n v="48"/>
    <x v="0"/>
    <s v="CAD"/>
    <n v="1523854800"/>
    <n v="1524286800"/>
    <x v="78"/>
    <d v="2018-04-21T05:00:00"/>
    <n v="6"/>
    <b v="0"/>
    <b v="0"/>
    <s v="publishing/nonfiction"/>
    <x v="5"/>
    <x v="9"/>
  </r>
  <r>
    <n v="813"/>
    <s v="Buckley Group"/>
    <s v="Diverse high-level attitude"/>
    <n v="3200"/>
    <n v="7661"/>
    <n v="239.40625"/>
    <x v="1"/>
    <n v="68"/>
    <n v="112.66176470588235"/>
    <x v="1"/>
    <s v="USD"/>
    <n v="1346043600"/>
    <n v="1346907600"/>
    <x v="732"/>
    <d v="2012-09-06T05:00:00"/>
    <n v="11"/>
    <b v="0"/>
    <b v="0"/>
    <s v="games/video games"/>
    <x v="6"/>
    <x v="11"/>
  </r>
  <r>
    <n v="814"/>
    <s v="Vincent PLC"/>
    <s v="Visionary 24hour analyzer"/>
    <n v="3200"/>
    <n v="2950"/>
    <n v="92.1875"/>
    <x v="0"/>
    <n v="36"/>
    <n v="81.944444444444443"/>
    <x v="3"/>
    <s v="DKK"/>
    <n v="1464325200"/>
    <n v="1464498000"/>
    <x v="733"/>
    <d v="2016-05-29T05:00:00"/>
    <n v="3"/>
    <b v="0"/>
    <b v="1"/>
    <s v="music/rock"/>
    <x v="1"/>
    <x v="1"/>
  </r>
  <r>
    <n v="815"/>
    <s v="Watson-Douglas"/>
    <s v="Centralized bandwidth-monitored leverage"/>
    <n v="9000"/>
    <n v="11721"/>
    <n v="130.23333333333332"/>
    <x v="1"/>
    <n v="183"/>
    <n v="64.049180327868854"/>
    <x v="0"/>
    <s v="CAD"/>
    <n v="1511935200"/>
    <n v="1514181600"/>
    <x v="734"/>
    <d v="2017-12-25T06:00:00"/>
    <n v="27"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n v="133"/>
    <n v="106.39097744360902"/>
    <x v="1"/>
    <s v="USD"/>
    <n v="1392012000"/>
    <n v="1392184800"/>
    <x v="406"/>
    <d v="2014-02-12T06:00:00"/>
    <n v="3"/>
    <b v="1"/>
    <b v="1"/>
    <s v="theater/plays"/>
    <x v="3"/>
    <x v="3"/>
  </r>
  <r>
    <n v="817"/>
    <s v="Alvarez-Bauer"/>
    <s v="Front-line intermediate moderator"/>
    <n v="51300"/>
    <n v="189192"/>
    <n v="368.79532163742692"/>
    <x v="1"/>
    <n v="2489"/>
    <n v="76.011249497790274"/>
    <x v="6"/>
    <s v="EUR"/>
    <n v="1556946000"/>
    <n v="1559365200"/>
    <x v="735"/>
    <d v="2019-06-01T05:00:00"/>
    <n v="29"/>
    <b v="0"/>
    <b v="1"/>
    <s v="publishing/nonfiction"/>
    <x v="5"/>
    <x v="9"/>
  </r>
  <r>
    <n v="818"/>
    <s v="Martinez LLC"/>
    <s v="Automated local secured line"/>
    <n v="700"/>
    <n v="7664"/>
    <n v="1094.8571428571429"/>
    <x v="1"/>
    <n v="69"/>
    <n v="111.07246376811594"/>
    <x v="1"/>
    <s v="USD"/>
    <n v="1548050400"/>
    <n v="1549173600"/>
    <x v="736"/>
    <d v="2019-02-03T06:00:00"/>
    <n v="14"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n v="47"/>
    <n v="95.936170212765958"/>
    <x v="1"/>
    <s v="USD"/>
    <n v="1353736800"/>
    <n v="1355032800"/>
    <x v="737"/>
    <d v="2012-12-09T06:00:00"/>
    <n v="16"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n v="279"/>
    <n v="43.043010752688176"/>
    <x v="4"/>
    <s v="GBP"/>
    <n v="1532840400"/>
    <n v="1533963600"/>
    <x v="192"/>
    <d v="2018-08-11T05:00:00"/>
    <n v="14"/>
    <b v="0"/>
    <b v="1"/>
    <s v="music/rock"/>
    <x v="1"/>
    <x v="1"/>
  </r>
  <r>
    <n v="821"/>
    <s v="Alvarez-Andrews"/>
    <s v="Extended impactful secured line"/>
    <n v="4900"/>
    <n v="14273"/>
    <n v="291.28571428571428"/>
    <x v="1"/>
    <n v="210"/>
    <n v="67.966666666666669"/>
    <x v="1"/>
    <s v="USD"/>
    <n v="1488261600"/>
    <n v="1489381200"/>
    <x v="738"/>
    <d v="2017-03-13T05:00:00"/>
    <n v="14"/>
    <b v="0"/>
    <b v="0"/>
    <s v="film &amp; video/documentary"/>
    <x v="4"/>
    <x v="4"/>
  </r>
  <r>
    <n v="822"/>
    <s v="Stewart and Sons"/>
    <s v="Distributed optimizing protocol"/>
    <n v="54000"/>
    <n v="188982"/>
    <n v="349.96666666666664"/>
    <x v="1"/>
    <n v="2100"/>
    <n v="89.991428571428571"/>
    <x v="1"/>
    <s v="USD"/>
    <n v="1393567200"/>
    <n v="1395032400"/>
    <x v="739"/>
    <d v="2014-03-17T05:00:00"/>
    <n v="18"/>
    <b v="0"/>
    <b v="0"/>
    <s v="music/rock"/>
    <x v="1"/>
    <x v="1"/>
  </r>
  <r>
    <n v="823"/>
    <s v="Dyer Inc"/>
    <s v="Secured well-modulated system engine"/>
    <n v="4100"/>
    <n v="14640"/>
    <n v="357.07317073170731"/>
    <x v="1"/>
    <n v="252"/>
    <n v="58.095238095238095"/>
    <x v="1"/>
    <s v="USD"/>
    <n v="1410325200"/>
    <n v="1412485200"/>
    <x v="613"/>
    <d v="2014-10-05T05:00:00"/>
    <n v="26"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n v="1280"/>
    <n v="83.996875000000003"/>
    <x v="1"/>
    <s v="USD"/>
    <n v="1276923600"/>
    <n v="1279688400"/>
    <x v="740"/>
    <d v="2010-07-21T05:00:00"/>
    <n v="33"/>
    <b v="0"/>
    <b v="1"/>
    <s v="publishing/nonfiction"/>
    <x v="5"/>
    <x v="9"/>
  </r>
  <r>
    <n v="825"/>
    <s v="Solomon PLC"/>
    <s v="Open-architected 24/7 infrastructure"/>
    <n v="3600"/>
    <n v="13950"/>
    <n v="387.5"/>
    <x v="1"/>
    <n v="157"/>
    <n v="88.853503184713375"/>
    <x v="4"/>
    <s v="GBP"/>
    <n v="1500958800"/>
    <n v="1501995600"/>
    <x v="145"/>
    <d v="2017-08-06T05:00:00"/>
    <n v="13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n v="194"/>
    <n v="65.963917525773198"/>
    <x v="1"/>
    <s v="USD"/>
    <n v="1292220000"/>
    <n v="1294639200"/>
    <x v="741"/>
    <d v="2011-01-10T06:00:00"/>
    <n v="29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n v="82"/>
    <n v="74.804878048780495"/>
    <x v="2"/>
    <s v="AUD"/>
    <n v="1304398800"/>
    <n v="1305435600"/>
    <x v="742"/>
    <d v="2011-05-15T05:00:00"/>
    <n v="13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n v="1535432400"/>
    <n v="1537592400"/>
    <x v="202"/>
    <d v="2018-09-22T05:00:00"/>
    <n v="26"/>
    <b v="0"/>
    <b v="0"/>
    <s v="theater/plays"/>
    <x v="3"/>
    <x v="3"/>
  </r>
  <r>
    <n v="829"/>
    <s v="Baker-Higgins"/>
    <s v="Vision-oriented scalable portal"/>
    <n v="9600"/>
    <n v="4929"/>
    <n v="51.34375"/>
    <x v="0"/>
    <n v="154"/>
    <n v="32.006493506493506"/>
    <x v="1"/>
    <s v="USD"/>
    <n v="1433826000"/>
    <n v="1435122000"/>
    <x v="743"/>
    <d v="2015-06-24T05:00:00"/>
    <n v="16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n v="1514959200"/>
    <n v="1520056800"/>
    <x v="744"/>
    <d v="2018-03-03T06:00:00"/>
    <n v="60"/>
    <b v="0"/>
    <b v="0"/>
    <s v="theater/plays"/>
    <x v="3"/>
    <x v="3"/>
  </r>
  <r>
    <n v="831"/>
    <s v="Ward PLC"/>
    <s v="Front-line bottom-line Graphic Interface"/>
    <n v="97100"/>
    <n v="105817"/>
    <n v="108.97734294541709"/>
    <x v="1"/>
    <n v="4233"/>
    <n v="24.998110087408456"/>
    <x v="1"/>
    <s v="USD"/>
    <n v="1332738000"/>
    <n v="1335675600"/>
    <x v="745"/>
    <d v="2012-04-29T05:00:00"/>
    <n v="35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n v="1297"/>
    <n v="104.97764070932922"/>
    <x v="3"/>
    <s v="DKK"/>
    <n v="1445490000"/>
    <n v="1448431200"/>
    <x v="746"/>
    <d v="2015-11-25T06:00:00"/>
    <n v="35"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n v="165"/>
    <n v="64.987878787878785"/>
    <x v="3"/>
    <s v="DKK"/>
    <n v="1297663200"/>
    <n v="1298613600"/>
    <x v="747"/>
    <d v="2011-02-25T06:00:00"/>
    <n v="12"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n v="119"/>
    <n v="94.352941176470594"/>
    <x v="1"/>
    <s v="USD"/>
    <n v="1371963600"/>
    <n v="1372482000"/>
    <x v="362"/>
    <d v="2013-06-29T05:00:00"/>
    <n v="7"/>
    <b v="0"/>
    <b v="0"/>
    <s v="theater/plays"/>
    <x v="3"/>
    <x v="3"/>
  </r>
  <r>
    <n v="835"/>
    <s v="Hodges, Smith and Kelly"/>
    <s v="Future-proofed 24hour model"/>
    <n v="86200"/>
    <n v="77355"/>
    <n v="89.738979118329468"/>
    <x v="0"/>
    <n v="1758"/>
    <n v="44.001706484641637"/>
    <x v="1"/>
    <s v="USD"/>
    <n v="1425103200"/>
    <n v="1425621600"/>
    <x v="748"/>
    <d v="2015-03-06T06:00:00"/>
    <n v="7"/>
    <b v="0"/>
    <b v="0"/>
    <s v="technology/web"/>
    <x v="2"/>
    <x v="2"/>
  </r>
  <r>
    <n v="836"/>
    <s v="Macias Inc"/>
    <s v="Optimized didactic intranet"/>
    <n v="8100"/>
    <n v="6086"/>
    <n v="75.135802469135797"/>
    <x v="0"/>
    <n v="94"/>
    <n v="64.744680851063833"/>
    <x v="1"/>
    <s v="USD"/>
    <n v="1265349600"/>
    <n v="1266300000"/>
    <x v="749"/>
    <d v="2010-02-16T06:00:00"/>
    <n v="12"/>
    <b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n v="1797"/>
    <n v="84.00667779632721"/>
    <x v="1"/>
    <s v="USD"/>
    <n v="1301202000"/>
    <n v="1305867600"/>
    <x v="643"/>
    <d v="2011-05-20T05:00:00"/>
    <n v="55"/>
    <b v="0"/>
    <b v="0"/>
    <s v="music/jazz"/>
    <x v="1"/>
    <x v="17"/>
  </r>
  <r>
    <n v="838"/>
    <s v="Jordan-Fischer"/>
    <s v="Vision-oriented high-level extranet"/>
    <n v="6400"/>
    <n v="8890"/>
    <n v="138.90625"/>
    <x v="1"/>
    <n v="261"/>
    <n v="34.061302681992338"/>
    <x v="1"/>
    <s v="USD"/>
    <n v="1538024400"/>
    <n v="1538802000"/>
    <x v="750"/>
    <d v="2018-10-06T05:00:00"/>
    <n v="10"/>
    <b v="0"/>
    <b v="0"/>
    <s v="theater/plays"/>
    <x v="3"/>
    <x v="3"/>
  </r>
  <r>
    <n v="839"/>
    <s v="Pierce-Ramirez"/>
    <s v="Organized scalable initiative"/>
    <n v="7700"/>
    <n v="14644"/>
    <n v="190.18181818181819"/>
    <x v="1"/>
    <n v="157"/>
    <n v="93.273885350318466"/>
    <x v="1"/>
    <s v="USD"/>
    <n v="1395032400"/>
    <n v="1398920400"/>
    <x v="751"/>
    <d v="2014-05-01T05:00:00"/>
    <n v="46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n v="3533"/>
    <n v="32.998301726577978"/>
    <x v="1"/>
    <s v="USD"/>
    <n v="1405486800"/>
    <n v="1405659600"/>
    <x v="752"/>
    <d v="2014-07-18T05:00:00"/>
    <n v="3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n v="155"/>
    <n v="83.812903225806451"/>
    <x v="1"/>
    <s v="USD"/>
    <n v="1455861600"/>
    <n v="1457244000"/>
    <x v="753"/>
    <d v="2016-03-06T06:00:00"/>
    <n v="17"/>
    <b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n v="132"/>
    <n v="63.992424242424242"/>
    <x v="6"/>
    <s v="EUR"/>
    <n v="1529038800"/>
    <n v="1529298000"/>
    <x v="754"/>
    <d v="2018-06-18T05:00:00"/>
    <n v="4"/>
    <b v="0"/>
    <b v="0"/>
    <s v="technology/wearables"/>
    <x v="2"/>
    <x v="8"/>
  </r>
  <r>
    <n v="843"/>
    <s v="Porter-Hicks"/>
    <s v="De-engineered next generation parallelism"/>
    <n v="8800"/>
    <n v="2703"/>
    <n v="30.71590909090909"/>
    <x v="0"/>
    <n v="33"/>
    <n v="81.909090909090907"/>
    <x v="1"/>
    <s v="USD"/>
    <n v="1535259600"/>
    <n v="1535778000"/>
    <x v="755"/>
    <d v="2018-09-01T05:00:00"/>
    <n v="7"/>
    <b v="0"/>
    <b v="0"/>
    <s v="photography/photography books"/>
    <x v="7"/>
    <x v="14"/>
  </r>
  <r>
    <n v="844"/>
    <s v="Rodriguez-Hansen"/>
    <s v="Intuitive cohesive groupware"/>
    <n v="8800"/>
    <n v="8747"/>
    <n v="99.397727272727266"/>
    <x v="3"/>
    <n v="94"/>
    <n v="93.053191489361708"/>
    <x v="1"/>
    <s v="USD"/>
    <n v="1327212000"/>
    <n v="1327471200"/>
    <x v="756"/>
    <d v="2012-01-25T06:00:00"/>
    <n v="4"/>
    <b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n v="1354"/>
    <n v="101.98449039881831"/>
    <x v="4"/>
    <s v="GBP"/>
    <n v="1526360400"/>
    <n v="1529557200"/>
    <x v="757"/>
    <d v="2018-06-21T05:00:00"/>
    <n v="38"/>
    <b v="0"/>
    <b v="0"/>
    <s v="technology/web"/>
    <x v="2"/>
    <x v="2"/>
  </r>
  <r>
    <n v="846"/>
    <s v="Cooper, Stanley and Bryant"/>
    <s v="Phased empowering success"/>
    <n v="1000"/>
    <n v="5085"/>
    <n v="508.5"/>
    <x v="1"/>
    <n v="48"/>
    <n v="105.9375"/>
    <x v="1"/>
    <s v="USD"/>
    <n v="1532149200"/>
    <n v="1535259600"/>
    <x v="758"/>
    <d v="2018-08-26T05:00:00"/>
    <n v="37"/>
    <b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n v="110"/>
    <n v="101.58181818181818"/>
    <x v="1"/>
    <s v="USD"/>
    <n v="1515304800"/>
    <n v="1515564000"/>
    <x v="759"/>
    <d v="2018-01-10T06:00:00"/>
    <n v="4"/>
    <b v="0"/>
    <b v="0"/>
    <s v="food/food trucks"/>
    <x v="0"/>
    <x v="0"/>
  </r>
  <r>
    <n v="848"/>
    <s v="Cole, Salazar and Moreno"/>
    <s v="Robust motivating orchestration"/>
    <n v="3200"/>
    <n v="10831"/>
    <n v="338.46875"/>
    <x v="1"/>
    <n v="172"/>
    <n v="62.970930232558139"/>
    <x v="1"/>
    <s v="USD"/>
    <n v="1276318800"/>
    <n v="1277096400"/>
    <x v="760"/>
    <d v="2010-06-21T05:00:00"/>
    <n v="10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n v="307"/>
    <n v="29.045602605863191"/>
    <x v="1"/>
    <s v="USD"/>
    <n v="1328767200"/>
    <n v="1329026400"/>
    <x v="761"/>
    <d v="2012-02-12T06:00:00"/>
    <n v="4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x v="762"/>
    <d v="2011-12-04T06:00:00"/>
    <n v="16"/>
    <b v="1"/>
    <b v="0"/>
    <s v="music/rock"/>
    <x v="1"/>
    <x v="1"/>
  </r>
  <r>
    <n v="851"/>
    <s v="Bright and Sons"/>
    <s v="Object-based needs-based info-mediaries"/>
    <n v="6000"/>
    <n v="12468"/>
    <n v="207.8"/>
    <x v="1"/>
    <n v="160"/>
    <n v="77.924999999999997"/>
    <x v="1"/>
    <s v="USD"/>
    <n v="1335934800"/>
    <n v="1338786000"/>
    <x v="444"/>
    <d v="2012-06-04T05:00:00"/>
    <n v="34"/>
    <b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n v="31"/>
    <n v="80.806451612903231"/>
    <x v="1"/>
    <s v="USD"/>
    <n v="1310792400"/>
    <n v="1311656400"/>
    <x v="763"/>
    <d v="2011-07-26T05:00:00"/>
    <n v="11"/>
    <b v="0"/>
    <b v="1"/>
    <s v="games/video games"/>
    <x v="6"/>
    <x v="11"/>
  </r>
  <r>
    <n v="853"/>
    <s v="Collier LLC"/>
    <s v="Secured well-modulated projection"/>
    <n v="17100"/>
    <n v="111502"/>
    <n v="652.05847953216369"/>
    <x v="1"/>
    <n v="1467"/>
    <n v="76.006816632583508"/>
    <x v="0"/>
    <s v="CAD"/>
    <n v="1308546000"/>
    <n v="1308978000"/>
    <x v="764"/>
    <d v="2011-06-25T05:00:00"/>
    <n v="6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n v="2662"/>
    <n v="72.993613824192337"/>
    <x v="0"/>
    <s v="CAD"/>
    <n v="1574056800"/>
    <n v="1576389600"/>
    <x v="765"/>
    <d v="2019-12-15T06:00:00"/>
    <n v="28"/>
    <b v="0"/>
    <b v="0"/>
    <s v="publishing/fiction"/>
    <x v="5"/>
    <x v="13"/>
  </r>
  <r>
    <n v="855"/>
    <s v="Moses-Terry"/>
    <s v="Horizontal clear-thinking framework"/>
    <n v="23400"/>
    <n v="23956"/>
    <n v="102.37606837606837"/>
    <x v="1"/>
    <n v="452"/>
    <n v="53"/>
    <x v="2"/>
    <s v="AUD"/>
    <n v="1308373200"/>
    <n v="1311051600"/>
    <x v="766"/>
    <d v="2011-07-19T05:00:00"/>
    <n v="32"/>
    <b v="0"/>
    <b v="0"/>
    <s v="theater/plays"/>
    <x v="3"/>
    <x v="3"/>
  </r>
  <r>
    <n v="856"/>
    <s v="Williams and Sons"/>
    <s v="Profound composite core"/>
    <n v="2400"/>
    <n v="8558"/>
    <n v="356.58333333333331"/>
    <x v="1"/>
    <n v="158"/>
    <n v="54.164556962025316"/>
    <x v="1"/>
    <s v="USD"/>
    <n v="1335243600"/>
    <n v="1336712400"/>
    <x v="767"/>
    <d v="2012-05-11T05:00:00"/>
    <n v="18"/>
    <b v="0"/>
    <b v="0"/>
    <s v="food/food trucks"/>
    <x v="0"/>
    <x v="0"/>
  </r>
  <r>
    <n v="857"/>
    <s v="Miranda, Gray and Hale"/>
    <s v="Programmable disintermediate matrices"/>
    <n v="5300"/>
    <n v="7413"/>
    <n v="139.8679245283019"/>
    <x v="1"/>
    <n v="225"/>
    <n v="32.946666666666665"/>
    <x v="5"/>
    <s v="CHF"/>
    <n v="1328421600"/>
    <n v="1330408800"/>
    <x v="768"/>
    <d v="2012-02-28T06:00:00"/>
    <n v="24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n v="35"/>
    <n v="79.371428571428567"/>
    <x v="1"/>
    <s v="USD"/>
    <n v="1524286800"/>
    <n v="1524891600"/>
    <x v="769"/>
    <d v="2018-04-28T05:00:00"/>
    <n v="8"/>
    <b v="1"/>
    <b v="0"/>
    <s v="food/food trucks"/>
    <x v="0"/>
    <x v="0"/>
  </r>
  <r>
    <n v="859"/>
    <s v="Martinez Ltd"/>
    <s v="Multi-layered upward-trending groupware"/>
    <n v="7300"/>
    <n v="2594"/>
    <n v="35.534246575342465"/>
    <x v="0"/>
    <n v="63"/>
    <n v="41.174603174603178"/>
    <x v="1"/>
    <s v="USD"/>
    <n v="1362117600"/>
    <n v="1363669200"/>
    <x v="770"/>
    <d v="2013-03-19T05:00:00"/>
    <n v="19"/>
    <b v="0"/>
    <b v="1"/>
    <s v="theater/plays"/>
    <x v="3"/>
    <x v="3"/>
  </r>
  <r>
    <n v="860"/>
    <s v="Lee PLC"/>
    <s v="Re-contextualized leadingedge firmware"/>
    <n v="2000"/>
    <n v="5033"/>
    <n v="251.65"/>
    <x v="1"/>
    <n v="65"/>
    <n v="77.430769230769229"/>
    <x v="1"/>
    <s v="USD"/>
    <n v="1550556000"/>
    <n v="1551420000"/>
    <x v="771"/>
    <d v="2019-03-01T06:00:00"/>
    <n v="11"/>
    <b v="0"/>
    <b v="1"/>
    <s v="technology/wearables"/>
    <x v="2"/>
    <x v="8"/>
  </r>
  <r>
    <n v="861"/>
    <s v="Young, Ramsey and Powell"/>
    <s v="Devolved disintermediate analyzer"/>
    <n v="8800"/>
    <n v="9317"/>
    <n v="105.875"/>
    <x v="1"/>
    <n v="163"/>
    <n v="57.159509202453989"/>
    <x v="1"/>
    <s v="USD"/>
    <n v="1269147600"/>
    <n v="1269838800"/>
    <x v="772"/>
    <d v="2010-03-29T05:00:00"/>
    <n v="9"/>
    <b v="0"/>
    <b v="0"/>
    <s v="theater/plays"/>
    <x v="3"/>
    <x v="3"/>
  </r>
  <r>
    <n v="862"/>
    <s v="Lewis and Sons"/>
    <s v="Profound disintermediate open system"/>
    <n v="3500"/>
    <n v="6560"/>
    <n v="187.42857142857142"/>
    <x v="1"/>
    <n v="85"/>
    <n v="77.17647058823529"/>
    <x v="1"/>
    <s v="USD"/>
    <n v="1312174800"/>
    <n v="1312520400"/>
    <x v="773"/>
    <d v="2011-08-05T05:00:00"/>
    <n v="5"/>
    <b v="0"/>
    <b v="0"/>
    <s v="theater/plays"/>
    <x v="3"/>
    <x v="3"/>
  </r>
  <r>
    <n v="863"/>
    <s v="Davis-Johnson"/>
    <s v="Automated reciprocal protocol"/>
    <n v="1400"/>
    <n v="5415"/>
    <n v="386.78571428571428"/>
    <x v="1"/>
    <n v="217"/>
    <n v="24.953917050691246"/>
    <x v="1"/>
    <s v="USD"/>
    <n v="1434517200"/>
    <n v="1436504400"/>
    <x v="774"/>
    <d v="2015-07-10T05:00:00"/>
    <n v="24"/>
    <b v="0"/>
    <b v="1"/>
    <s v="film &amp; video/television"/>
    <x v="4"/>
    <x v="19"/>
  </r>
  <r>
    <n v="864"/>
    <s v="Stevenson-Thompson"/>
    <s v="Automated static workforce"/>
    <n v="4200"/>
    <n v="14577"/>
    <n v="347.07142857142856"/>
    <x v="1"/>
    <n v="150"/>
    <n v="97.18"/>
    <x v="1"/>
    <s v="USD"/>
    <n v="1471582800"/>
    <n v="1472014800"/>
    <x v="775"/>
    <d v="2016-08-24T05:00:00"/>
    <n v="6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n v="3272"/>
    <n v="46.000916870415651"/>
    <x v="1"/>
    <s v="USD"/>
    <n v="1410757200"/>
    <n v="1411534800"/>
    <x v="776"/>
    <d v="2014-09-24T05:00:00"/>
    <n v="10"/>
    <b v="0"/>
    <b v="0"/>
    <s v="theater/plays"/>
    <x v="3"/>
    <x v="3"/>
  </r>
  <r>
    <n v="866"/>
    <s v="Jackson-Brown"/>
    <s v="Versatile 5thgeneration matrices"/>
    <n v="182800"/>
    <n v="79045"/>
    <n v="43.241247264770237"/>
    <x v="3"/>
    <n v="898"/>
    <n v="88.023385300668153"/>
    <x v="1"/>
    <s v="USD"/>
    <n v="1304830800"/>
    <n v="1304917200"/>
    <x v="777"/>
    <d v="2011-05-09T05:00:00"/>
    <n v="2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n v="300"/>
    <n v="25.99"/>
    <x v="1"/>
    <s v="USD"/>
    <n v="1539061200"/>
    <n v="1539579600"/>
    <x v="778"/>
    <d v="2018-10-15T05:00:00"/>
    <n v="7"/>
    <b v="0"/>
    <b v="0"/>
    <s v="food/food trucks"/>
    <x v="0"/>
    <x v="0"/>
  </r>
  <r>
    <n v="868"/>
    <s v="Wood, Buckley and Meza"/>
    <s v="Front-line web-enabled installation"/>
    <n v="7000"/>
    <n v="12939"/>
    <n v="184.84285714285716"/>
    <x v="1"/>
    <n v="126"/>
    <n v="102.69047619047619"/>
    <x v="1"/>
    <s v="USD"/>
    <n v="1381554000"/>
    <n v="1382504400"/>
    <x v="779"/>
    <d v="2013-10-23T05:00:00"/>
    <n v="12"/>
    <b v="0"/>
    <b v="0"/>
    <s v="theater/plays"/>
    <x v="3"/>
    <x v="3"/>
  </r>
  <r>
    <n v="869"/>
    <s v="Brown-Williams"/>
    <s v="Multi-channeled responsive product"/>
    <n v="161900"/>
    <n v="38376"/>
    <n v="23.703520691785052"/>
    <x v="0"/>
    <n v="526"/>
    <n v="72.958174904942965"/>
    <x v="1"/>
    <s v="USD"/>
    <n v="1277096400"/>
    <n v="1278306000"/>
    <x v="780"/>
    <d v="2010-07-05T05:00:00"/>
    <n v="15"/>
    <b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n v="121"/>
    <n v="57.190082644628099"/>
    <x v="1"/>
    <s v="USD"/>
    <n v="1440392400"/>
    <n v="1442552400"/>
    <x v="335"/>
    <d v="2015-09-18T05:00:00"/>
    <n v="26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n v="2320"/>
    <n v="84.013793103448279"/>
    <x v="1"/>
    <s v="USD"/>
    <n v="1509512400"/>
    <n v="1511071200"/>
    <x v="535"/>
    <d v="2017-11-19T06:00:00"/>
    <n v="19"/>
    <b v="0"/>
    <b v="1"/>
    <s v="theater/plays"/>
    <x v="3"/>
    <x v="3"/>
  </r>
  <r>
    <n v="872"/>
    <s v="Davis LLC"/>
    <s v="Compatible logistical paradigm"/>
    <n v="4700"/>
    <n v="7992"/>
    <n v="170.04255319148936"/>
    <x v="1"/>
    <n v="81"/>
    <n v="98.666666666666671"/>
    <x v="2"/>
    <s v="AUD"/>
    <n v="1535950800"/>
    <n v="1536382800"/>
    <x v="270"/>
    <d v="2018-09-08T05:00:00"/>
    <n v="6"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n v="1887"/>
    <n v="42.007419183889773"/>
    <x v="1"/>
    <s v="USD"/>
    <n v="1389160800"/>
    <n v="1389592800"/>
    <x v="781"/>
    <d v="2014-01-13T06:00:00"/>
    <n v="6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n v="4358"/>
    <n v="32.002753556677376"/>
    <x v="1"/>
    <s v="USD"/>
    <n v="1271998800"/>
    <n v="1275282000"/>
    <x v="782"/>
    <d v="2010-05-31T05:00:00"/>
    <n v="39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n v="67"/>
    <n v="81.567164179104481"/>
    <x v="1"/>
    <s v="USD"/>
    <n v="1294898400"/>
    <n v="1294984800"/>
    <x v="783"/>
    <d v="2011-01-14T06:00:00"/>
    <n v="2"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n v="57"/>
    <n v="37.035087719298247"/>
    <x v="0"/>
    <s v="CAD"/>
    <n v="1559970000"/>
    <n v="1562043600"/>
    <x v="784"/>
    <d v="2019-07-02T05:00:00"/>
    <n v="25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n v="1229"/>
    <n v="103.033360455655"/>
    <x v="1"/>
    <s v="USD"/>
    <n v="1469509200"/>
    <n v="1469595600"/>
    <x v="785"/>
    <d v="2016-07-27T05:00:00"/>
    <n v="2"/>
    <b v="0"/>
    <b v="0"/>
    <s v="food/food trucks"/>
    <x v="0"/>
    <x v="0"/>
  </r>
  <r>
    <n v="878"/>
    <s v="Lutz Group"/>
    <s v="Enterprise-wide foreground paradigm"/>
    <n v="2700"/>
    <n v="1012"/>
    <n v="37.481481481481481"/>
    <x v="0"/>
    <n v="12"/>
    <n v="84.333333333333329"/>
    <x v="6"/>
    <s v="EUR"/>
    <n v="1579068000"/>
    <n v="1581141600"/>
    <x v="786"/>
    <d v="2020-02-08T06:00:00"/>
    <n v="25"/>
    <b v="0"/>
    <b v="0"/>
    <s v="music/metal"/>
    <x v="1"/>
    <x v="16"/>
  </r>
  <r>
    <n v="879"/>
    <s v="Ortiz Inc"/>
    <s v="Stand-alone incremental parallelism"/>
    <n v="1000"/>
    <n v="5438"/>
    <n v="543.79999999999995"/>
    <x v="1"/>
    <n v="53"/>
    <n v="102.60377358490567"/>
    <x v="1"/>
    <s v="USD"/>
    <n v="1487743200"/>
    <n v="1488520800"/>
    <x v="787"/>
    <d v="2017-03-03T06:00:00"/>
    <n v="10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n v="2414"/>
    <n v="79.992129246064621"/>
    <x v="1"/>
    <s v="USD"/>
    <n v="1563685200"/>
    <n v="1563858000"/>
    <x v="788"/>
    <d v="2019-07-23T05:00:00"/>
    <n v="3"/>
    <b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n v="452"/>
    <n v="70.055309734513273"/>
    <x v="1"/>
    <s v="USD"/>
    <n v="1436418000"/>
    <n v="1438923600"/>
    <x v="330"/>
    <d v="2015-08-07T05:00:00"/>
    <n v="3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x v="789"/>
    <d v="2015-01-25T06:00:00"/>
    <n v="5"/>
    <b v="0"/>
    <b v="0"/>
    <s v="theater/plays"/>
    <x v="3"/>
    <x v="3"/>
  </r>
  <r>
    <n v="883"/>
    <s v="Simmons-Villarreal"/>
    <s v="Customer-focused mobile Graphic Interface"/>
    <n v="3400"/>
    <n v="8089"/>
    <n v="237.91176470588235"/>
    <x v="1"/>
    <n v="193"/>
    <n v="41.911917098445599"/>
    <x v="1"/>
    <s v="USD"/>
    <n v="1274763600"/>
    <n v="1277874000"/>
    <x v="790"/>
    <d v="2010-06-30T05:00:00"/>
    <n v="37"/>
    <b v="0"/>
    <b v="0"/>
    <s v="film &amp; video/shorts"/>
    <x v="4"/>
    <x v="12"/>
  </r>
  <r>
    <n v="884"/>
    <s v="Strickland Group"/>
    <s v="Horizontal secondary interface"/>
    <n v="170800"/>
    <n v="109374"/>
    <n v="64.036299765807968"/>
    <x v="0"/>
    <n v="1886"/>
    <n v="57.992576882290564"/>
    <x v="1"/>
    <s v="USD"/>
    <n v="1399179600"/>
    <n v="1399352400"/>
    <x v="791"/>
    <d v="2014-05-06T05:00:00"/>
    <n v="3"/>
    <b v="0"/>
    <b v="1"/>
    <s v="theater/plays"/>
    <x v="3"/>
    <x v="3"/>
  </r>
  <r>
    <n v="885"/>
    <s v="Lynch Ltd"/>
    <s v="Virtual analyzing collaboration"/>
    <n v="1800"/>
    <n v="2129"/>
    <n v="118.27777777777777"/>
    <x v="1"/>
    <n v="52"/>
    <n v="40.942307692307693"/>
    <x v="1"/>
    <s v="USD"/>
    <n v="1275800400"/>
    <n v="1279083600"/>
    <x v="792"/>
    <d v="2010-07-14T05:00:00"/>
    <n v="39"/>
    <b v="0"/>
    <b v="0"/>
    <s v="theater/plays"/>
    <x v="3"/>
    <x v="3"/>
  </r>
  <r>
    <n v="886"/>
    <s v="Sanders LLC"/>
    <s v="Multi-tiered explicit focus group"/>
    <n v="150600"/>
    <n v="127745"/>
    <n v="84.824037184594957"/>
    <x v="0"/>
    <n v="1825"/>
    <n v="69.9972602739726"/>
    <x v="1"/>
    <s v="USD"/>
    <n v="1282798800"/>
    <n v="1284354000"/>
    <x v="793"/>
    <d v="2010-09-13T05:00:00"/>
    <n v="19"/>
    <b v="0"/>
    <b v="0"/>
    <s v="music/indie rock"/>
    <x v="1"/>
    <x v="7"/>
  </r>
  <r>
    <n v="887"/>
    <s v="Cooper LLC"/>
    <s v="Multi-layered systematic knowledgebase"/>
    <n v="7800"/>
    <n v="2289"/>
    <n v="29.346153846153847"/>
    <x v="0"/>
    <n v="31"/>
    <n v="73.838709677419359"/>
    <x v="1"/>
    <s v="USD"/>
    <n v="1437109200"/>
    <n v="1441170000"/>
    <x v="794"/>
    <d v="2015-09-02T05:00:00"/>
    <n v="48"/>
    <b v="0"/>
    <b v="1"/>
    <s v="theater/plays"/>
    <x v="3"/>
    <x v="3"/>
  </r>
  <r>
    <n v="888"/>
    <s v="Palmer Ltd"/>
    <s v="Reverse-engineered uniform knowledge user"/>
    <n v="5800"/>
    <n v="12174"/>
    <n v="209.89655172413794"/>
    <x v="1"/>
    <n v="290"/>
    <n v="41.979310344827589"/>
    <x v="1"/>
    <s v="USD"/>
    <n v="1491886800"/>
    <n v="1493528400"/>
    <x v="795"/>
    <d v="2017-04-30T05:00:00"/>
    <n v="20"/>
    <b v="0"/>
    <b v="0"/>
    <s v="theater/plays"/>
    <x v="3"/>
    <x v="3"/>
  </r>
  <r>
    <n v="889"/>
    <s v="Santos Group"/>
    <s v="Secured dynamic capacity"/>
    <n v="5600"/>
    <n v="9508"/>
    <n v="169.78571428571428"/>
    <x v="1"/>
    <n v="122"/>
    <n v="77.93442622950819"/>
    <x v="1"/>
    <s v="USD"/>
    <n v="1394600400"/>
    <n v="1395205200"/>
    <x v="796"/>
    <d v="2014-03-19T05:00:00"/>
    <n v="8"/>
    <b v="0"/>
    <b v="1"/>
    <s v="music/electric music"/>
    <x v="1"/>
    <x v="5"/>
  </r>
  <r>
    <n v="890"/>
    <s v="Christian, Kim and Jimenez"/>
    <s v="Devolved foreground throughput"/>
    <n v="134400"/>
    <n v="155849"/>
    <n v="115.95907738095238"/>
    <x v="1"/>
    <n v="1470"/>
    <n v="106.01972789115646"/>
    <x v="1"/>
    <s v="USD"/>
    <n v="1561352400"/>
    <n v="1561438800"/>
    <x v="797"/>
    <d v="2019-06-25T05:00:00"/>
    <n v="2"/>
    <b v="0"/>
    <b v="0"/>
    <s v="music/indie rock"/>
    <x v="1"/>
    <x v="7"/>
  </r>
  <r>
    <n v="891"/>
    <s v="Williams, Price and Hurley"/>
    <s v="Synchronized demand-driven infrastructure"/>
    <n v="3000"/>
    <n v="7758"/>
    <n v="258.60000000000002"/>
    <x v="1"/>
    <n v="165"/>
    <n v="47.018181818181816"/>
    <x v="0"/>
    <s v="CAD"/>
    <n v="1322892000"/>
    <n v="1326693600"/>
    <x v="798"/>
    <d v="2012-01-16T06:00:00"/>
    <n v="45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4"/>
    <x v="1"/>
    <n v="182"/>
    <n v="76.016483516483518"/>
    <x v="1"/>
    <s v="USD"/>
    <n v="1274418000"/>
    <n v="1277960400"/>
    <x v="799"/>
    <d v="2010-07-01T05:00:00"/>
    <n v="42"/>
    <b v="0"/>
    <b v="0"/>
    <s v="publishing/translations"/>
    <x v="5"/>
    <x v="18"/>
  </r>
  <r>
    <n v="893"/>
    <s v="Collins-Martinez"/>
    <s v="Progressive grid-enabled website"/>
    <n v="8400"/>
    <n v="10770"/>
    <n v="128.21428571428572"/>
    <x v="1"/>
    <n v="199"/>
    <n v="54.120603015075375"/>
    <x v="6"/>
    <s v="EUR"/>
    <n v="1434344400"/>
    <n v="1434690000"/>
    <x v="800"/>
    <d v="2015-06-19T05:00:00"/>
    <n v="5"/>
    <b v="0"/>
    <b v="1"/>
    <s v="film &amp; video/documentary"/>
    <x v="4"/>
    <x v="4"/>
  </r>
  <r>
    <n v="894"/>
    <s v="Barrett Inc"/>
    <s v="Organic cohesive neural-net"/>
    <n v="1700"/>
    <n v="3208"/>
    <n v="188.70588235294119"/>
    <x v="1"/>
    <n v="56"/>
    <n v="57.285714285714285"/>
    <x v="4"/>
    <s v="GBP"/>
    <n v="1373518800"/>
    <n v="1376110800"/>
    <x v="801"/>
    <d v="2013-08-10T05:00:00"/>
    <n v="31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n v="107"/>
    <n v="103.81308411214954"/>
    <x v="1"/>
    <s v="USD"/>
    <n v="1517637600"/>
    <n v="1518415200"/>
    <x v="802"/>
    <d v="2018-02-12T06:00:00"/>
    <n v="10"/>
    <b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n v="1460"/>
    <n v="105.02602739726028"/>
    <x v="2"/>
    <s v="AUD"/>
    <n v="1310619600"/>
    <n v="1310878800"/>
    <x v="803"/>
    <d v="2011-07-17T05:00:00"/>
    <n v="4"/>
    <b v="0"/>
    <b v="1"/>
    <s v="food/food trucks"/>
    <x v="0"/>
    <x v="0"/>
  </r>
  <r>
    <n v="897"/>
    <s v="Berry-Cannon"/>
    <s v="Organized discrete encoding"/>
    <n v="8800"/>
    <n v="2437"/>
    <n v="27.693181818181817"/>
    <x v="0"/>
    <n v="27"/>
    <n v="90.259259259259252"/>
    <x v="1"/>
    <s v="USD"/>
    <n v="1556427600"/>
    <n v="1556600400"/>
    <x v="212"/>
    <d v="2019-04-30T05:00:00"/>
    <n v="3"/>
    <b v="0"/>
    <b v="0"/>
    <s v="theater/plays"/>
    <x v="3"/>
    <x v="3"/>
  </r>
  <r>
    <n v="898"/>
    <s v="Davis-Gonzalez"/>
    <s v="Balanced regional flexibility"/>
    <n v="179100"/>
    <n v="93991"/>
    <n v="52.479620323841431"/>
    <x v="0"/>
    <n v="1221"/>
    <n v="76.978705978705975"/>
    <x v="1"/>
    <s v="USD"/>
    <n v="1576476000"/>
    <n v="1576994400"/>
    <x v="804"/>
    <d v="2019-12-22T06:00:00"/>
    <n v="7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n v="123"/>
    <n v="102.60162601626017"/>
    <x v="5"/>
    <s v="CHF"/>
    <n v="1381122000"/>
    <n v="1382677200"/>
    <x v="805"/>
    <d v="2013-10-25T05:00:00"/>
    <n v="19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x v="806"/>
    <d v="2014-09-20T05:00:00"/>
    <n v="2"/>
    <b v="0"/>
    <b v="1"/>
    <s v="technology/web"/>
    <x v="2"/>
    <x v="2"/>
  </r>
  <r>
    <n v="901"/>
    <s v="Hogan Group"/>
    <s v="Versatile bottom-line definition"/>
    <n v="5600"/>
    <n v="8746"/>
    <n v="156.17857142857142"/>
    <x v="1"/>
    <n v="159"/>
    <n v="55.0062893081761"/>
    <x v="1"/>
    <s v="USD"/>
    <n v="1531803600"/>
    <n v="1534654800"/>
    <x v="807"/>
    <d v="2018-08-19T05:00:00"/>
    <n v="34"/>
    <b v="0"/>
    <b v="1"/>
    <s v="music/rock"/>
    <x v="1"/>
    <x v="1"/>
  </r>
  <r>
    <n v="902"/>
    <s v="Wang, Silva and Byrd"/>
    <s v="Integrated bifurcated software"/>
    <n v="1400"/>
    <n v="3534"/>
    <n v="252.42857142857142"/>
    <x v="1"/>
    <n v="110"/>
    <n v="32.127272727272725"/>
    <x v="1"/>
    <s v="USD"/>
    <n v="1454133600"/>
    <n v="1457762400"/>
    <x v="722"/>
    <d v="2016-03-12T06:00:00"/>
    <n v="43"/>
    <b v="0"/>
    <b v="0"/>
    <s v="technology/web"/>
    <x v="2"/>
    <x v="2"/>
  </r>
  <r>
    <n v="903"/>
    <s v="Parker-Morris"/>
    <s v="Assimilated next generation instruction set"/>
    <n v="41000"/>
    <n v="709"/>
    <n v="1.7292682926829268"/>
    <x v="2"/>
    <n v="14"/>
    <n v="50.642857142857146"/>
    <x v="1"/>
    <s v="USD"/>
    <n v="1336194000"/>
    <n v="1337490000"/>
    <x v="477"/>
    <d v="2012-05-20T05:00:00"/>
    <n v="16"/>
    <b v="0"/>
    <b v="1"/>
    <s v="publishing/nonfiction"/>
    <x v="5"/>
    <x v="9"/>
  </r>
  <r>
    <n v="904"/>
    <s v="Rodriguez, Johnson and Jackson"/>
    <s v="Digitized foreground array"/>
    <n v="6500"/>
    <n v="795"/>
    <n v="12.23076923076923"/>
    <x v="0"/>
    <n v="16"/>
    <n v="49.6875"/>
    <x v="1"/>
    <s v="USD"/>
    <n v="1349326800"/>
    <n v="1349672400"/>
    <x v="259"/>
    <d v="2012-10-08T05:00:00"/>
    <n v="5"/>
    <b v="0"/>
    <b v="0"/>
    <s v="publishing/radio &amp; podcasts"/>
    <x v="5"/>
    <x v="15"/>
  </r>
  <r>
    <n v="905"/>
    <s v="Haynes PLC"/>
    <s v="Re-engineered clear-thinking project"/>
    <n v="7900"/>
    <n v="12955"/>
    <n v="163.98734177215189"/>
    <x v="1"/>
    <n v="236"/>
    <n v="54.894067796610166"/>
    <x v="1"/>
    <s v="USD"/>
    <n v="1379566800"/>
    <n v="1379826000"/>
    <x v="9"/>
    <d v="2013-09-22T05:00:00"/>
    <n v="4"/>
    <b v="0"/>
    <b v="0"/>
    <s v="theater/plays"/>
    <x v="3"/>
    <x v="3"/>
  </r>
  <r>
    <n v="906"/>
    <s v="Hayes Group"/>
    <s v="Implemented even-keeled standardization"/>
    <n v="5500"/>
    <n v="8964"/>
    <n v="162.98181818181817"/>
    <x v="1"/>
    <n v="191"/>
    <n v="46.931937172774866"/>
    <x v="1"/>
    <s v="USD"/>
    <n v="1494651600"/>
    <n v="1497762000"/>
    <x v="808"/>
    <d v="2017-06-18T05:00:00"/>
    <n v="37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n v="41"/>
    <n v="44.951219512195124"/>
    <x v="1"/>
    <s v="USD"/>
    <n v="1303880400"/>
    <n v="1304485200"/>
    <x v="809"/>
    <d v="2011-05-04T05:00:00"/>
    <n v="8"/>
    <b v="0"/>
    <b v="0"/>
    <s v="theater/plays"/>
    <x v="3"/>
    <x v="3"/>
  </r>
  <r>
    <n v="908"/>
    <s v="Bryant-Pope"/>
    <s v="Networked intangible help-desk"/>
    <n v="38200"/>
    <n v="121950"/>
    <n v="319.24083769633506"/>
    <x v="1"/>
    <n v="3934"/>
    <n v="30.99898322318251"/>
    <x v="1"/>
    <s v="USD"/>
    <n v="1335934800"/>
    <n v="1336885200"/>
    <x v="444"/>
    <d v="2012-05-13T05:00:00"/>
    <n v="12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n v="80"/>
    <n v="107.7625"/>
    <x v="0"/>
    <s v="CAD"/>
    <n v="1528088400"/>
    <n v="1530421200"/>
    <x v="384"/>
    <d v="2018-07-01T05:00:00"/>
    <n v="28"/>
    <b v="0"/>
    <b v="1"/>
    <s v="theater/plays"/>
    <x v="3"/>
    <x v="3"/>
  </r>
  <r>
    <n v="910"/>
    <s v="King-Morris"/>
    <s v="Proactive incremental architecture"/>
    <n v="154500"/>
    <n v="30215"/>
    <n v="19.556634304207119"/>
    <x v="3"/>
    <n v="296"/>
    <n v="102.07770270270271"/>
    <x v="1"/>
    <s v="USD"/>
    <n v="1421906400"/>
    <n v="1421992800"/>
    <x v="810"/>
    <d v="2015-01-23T06:00:00"/>
    <n v="2"/>
    <b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n v="462"/>
    <n v="24.976190476190474"/>
    <x v="1"/>
    <s v="USD"/>
    <n v="1568005200"/>
    <n v="1568178000"/>
    <x v="811"/>
    <d v="2019-09-11T05:00:00"/>
    <n v="3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4134078212286"/>
    <x v="1"/>
    <s v="USD"/>
    <n v="1346821200"/>
    <n v="1347944400"/>
    <x v="812"/>
    <d v="2012-09-18T05:00:00"/>
    <n v="14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n v="523"/>
    <n v="67.946462715105156"/>
    <x v="2"/>
    <s v="AUD"/>
    <n v="1557637200"/>
    <n v="1558760400"/>
    <x v="813"/>
    <d v="2019-05-25T05:00:00"/>
    <n v="14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n v="141"/>
    <n v="26.070921985815602"/>
    <x v="4"/>
    <s v="GBP"/>
    <n v="1375592400"/>
    <n v="1376629200"/>
    <x v="814"/>
    <d v="2013-08-16T05:00:00"/>
    <n v="13"/>
    <b v="0"/>
    <b v="0"/>
    <s v="theater/plays"/>
    <x v="3"/>
    <x v="3"/>
  </r>
  <r>
    <n v="915"/>
    <s v="Riggs Group"/>
    <s v="Configurable upward-trending solution"/>
    <n v="125900"/>
    <n v="195936"/>
    <n v="155.62827640984909"/>
    <x v="1"/>
    <n v="1866"/>
    <n v="105.0032154340836"/>
    <x v="4"/>
    <s v="GBP"/>
    <n v="1503982800"/>
    <n v="1504760400"/>
    <x v="80"/>
    <d v="2017-09-07T05:00:00"/>
    <n v="10"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n v="52"/>
    <n v="25.826923076923077"/>
    <x v="1"/>
    <s v="USD"/>
    <n v="1418882400"/>
    <n v="1419660000"/>
    <x v="815"/>
    <d v="2014-12-27T06:00:00"/>
    <n v="10"/>
    <b v="0"/>
    <b v="0"/>
    <s v="photography/photography books"/>
    <x v="7"/>
    <x v="14"/>
  </r>
  <r>
    <n v="917"/>
    <s v="Cooper Inc"/>
    <s v="Polarized discrete product"/>
    <n v="3600"/>
    <n v="2097"/>
    <n v="58.25"/>
    <x v="2"/>
    <n v="27"/>
    <n v="77.666666666666671"/>
    <x v="4"/>
    <s v="GBP"/>
    <n v="1309237200"/>
    <n v="1311310800"/>
    <x v="816"/>
    <d v="2011-07-22T05:00:00"/>
    <n v="25"/>
    <b v="0"/>
    <b v="1"/>
    <s v="film &amp; video/shorts"/>
    <x v="4"/>
    <x v="12"/>
  </r>
  <r>
    <n v="918"/>
    <s v="Jones-Gonzalez"/>
    <s v="Seamless dynamic website"/>
    <n v="3800"/>
    <n v="9021"/>
    <n v="237.39473684210526"/>
    <x v="1"/>
    <n v="156"/>
    <n v="57.82692307692308"/>
    <x v="5"/>
    <s v="CHF"/>
    <n v="1343365200"/>
    <n v="1344315600"/>
    <x v="474"/>
    <d v="2012-08-07T05:00:00"/>
    <n v="12"/>
    <b v="0"/>
    <b v="0"/>
    <s v="publishing/radio &amp; podcasts"/>
    <x v="5"/>
    <x v="15"/>
  </r>
  <r>
    <n v="919"/>
    <s v="Fox Ltd"/>
    <s v="Extended multimedia firmware"/>
    <n v="35600"/>
    <n v="20915"/>
    <n v="58.75"/>
    <x v="0"/>
    <n v="225"/>
    <n v="92.955555555555549"/>
    <x v="2"/>
    <s v="AUD"/>
    <n v="1507957200"/>
    <n v="1510725600"/>
    <x v="817"/>
    <d v="2017-11-15T06:00:00"/>
    <n v="33"/>
    <b v="0"/>
    <b v="1"/>
    <s v="theater/plays"/>
    <x v="3"/>
    <x v="3"/>
  </r>
  <r>
    <n v="920"/>
    <s v="Green, Murphy and Webb"/>
    <s v="Versatile directional project"/>
    <n v="5300"/>
    <n v="9676"/>
    <n v="182.56603773584905"/>
    <x v="1"/>
    <n v="255"/>
    <n v="37.945098039215686"/>
    <x v="1"/>
    <s v="USD"/>
    <n v="1549519200"/>
    <n v="1551247200"/>
    <x v="818"/>
    <d v="2019-02-27T06:00:00"/>
    <n v="21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n v="38"/>
    <n v="31.842105263157894"/>
    <x v="1"/>
    <s v="USD"/>
    <n v="1329026400"/>
    <n v="1330236000"/>
    <x v="819"/>
    <d v="2012-02-26T06:00:00"/>
    <n v="15"/>
    <b v="0"/>
    <b v="0"/>
    <s v="technology/web"/>
    <x v="2"/>
    <x v="2"/>
  </r>
  <r>
    <n v="922"/>
    <s v="Soto-Anthony"/>
    <s v="Ameliorated logistical capability"/>
    <n v="51400"/>
    <n v="90440"/>
    <n v="175.95330739299609"/>
    <x v="1"/>
    <n v="2261"/>
    <n v="40"/>
    <x v="1"/>
    <s v="USD"/>
    <n v="1544335200"/>
    <n v="1545112800"/>
    <x v="609"/>
    <d v="2018-12-18T06:00:00"/>
    <n v="10"/>
    <b v="0"/>
    <b v="1"/>
    <s v="music/world music"/>
    <x v="1"/>
    <x v="21"/>
  </r>
  <r>
    <n v="923"/>
    <s v="Wise and Sons"/>
    <s v="Sharable discrete definition"/>
    <n v="1700"/>
    <n v="4044"/>
    <n v="237.88235294117646"/>
    <x v="1"/>
    <n v="40"/>
    <n v="101.1"/>
    <x v="1"/>
    <s v="USD"/>
    <n v="1279083600"/>
    <n v="1279170000"/>
    <x v="547"/>
    <d v="2010-07-15T05:00:00"/>
    <n v="2"/>
    <b v="0"/>
    <b v="0"/>
    <s v="theater/plays"/>
    <x v="3"/>
    <x v="3"/>
  </r>
  <r>
    <n v="924"/>
    <s v="Butler-Barr"/>
    <s v="User-friendly next generation core"/>
    <n v="39400"/>
    <n v="192292"/>
    <n v="488.05076142131981"/>
    <x v="1"/>
    <n v="2289"/>
    <n v="84.006989951944078"/>
    <x v="6"/>
    <s v="EUR"/>
    <n v="1572498000"/>
    <n v="1573452000"/>
    <x v="820"/>
    <d v="2019-11-11T06:00:00"/>
    <n v="12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6"/>
    <x v="1"/>
    <n v="65"/>
    <n v="103.41538461538461"/>
    <x v="1"/>
    <s v="USD"/>
    <n v="1506056400"/>
    <n v="1507093200"/>
    <x v="821"/>
    <d v="2017-10-04T05:00:00"/>
    <n v="13"/>
    <b v="0"/>
    <b v="0"/>
    <s v="theater/plays"/>
    <x v="3"/>
    <x v="3"/>
  </r>
  <r>
    <n v="926"/>
    <s v="Brown-Oliver"/>
    <s v="Synchronized cohesive encoding"/>
    <n v="8700"/>
    <n v="1577"/>
    <n v="18.126436781609197"/>
    <x v="0"/>
    <n v="15"/>
    <n v="105.13333333333334"/>
    <x v="1"/>
    <s v="USD"/>
    <n v="1463029200"/>
    <n v="1463374800"/>
    <x v="151"/>
    <d v="2016-05-16T05:00:00"/>
    <n v="5"/>
    <b v="0"/>
    <b v="0"/>
    <s v="food/food trucks"/>
    <x v="0"/>
    <x v="0"/>
  </r>
  <r>
    <n v="927"/>
    <s v="Davis-Gardner"/>
    <s v="Synergistic dynamic utilization"/>
    <n v="7200"/>
    <n v="3301"/>
    <n v="45.847222222222221"/>
    <x v="0"/>
    <n v="37"/>
    <n v="89.21621621621621"/>
    <x v="1"/>
    <s v="USD"/>
    <n v="1342069200"/>
    <n v="1344574800"/>
    <x v="822"/>
    <d v="2012-08-10T05:00:00"/>
    <n v="30"/>
    <b v="0"/>
    <b v="0"/>
    <s v="theater/plays"/>
    <x v="3"/>
    <x v="3"/>
  </r>
  <r>
    <n v="928"/>
    <s v="Dawson Group"/>
    <s v="Triple-buffered bi-directional model"/>
    <n v="167400"/>
    <n v="196386"/>
    <n v="117.31541218637993"/>
    <x v="1"/>
    <n v="3777"/>
    <n v="51.995234312946785"/>
    <x v="6"/>
    <s v="EUR"/>
    <n v="1388296800"/>
    <n v="1389074400"/>
    <x v="823"/>
    <d v="2014-01-07T06:00:00"/>
    <n v="10"/>
    <b v="0"/>
    <b v="0"/>
    <s v="technology/web"/>
    <x v="2"/>
    <x v="2"/>
  </r>
  <r>
    <n v="929"/>
    <s v="Turner-Terrell"/>
    <s v="Polarized tertiary function"/>
    <n v="5500"/>
    <n v="11952"/>
    <n v="217.30909090909091"/>
    <x v="1"/>
    <n v="184"/>
    <n v="64.956521739130437"/>
    <x v="4"/>
    <s v="GBP"/>
    <n v="1493787600"/>
    <n v="1494997200"/>
    <x v="824"/>
    <d v="2017-05-17T05:00:00"/>
    <n v="15"/>
    <b v="0"/>
    <b v="0"/>
    <s v="theater/plays"/>
    <x v="3"/>
    <x v="3"/>
  </r>
  <r>
    <n v="930"/>
    <s v="Hall, Buchanan and Benton"/>
    <s v="Configurable fault-tolerant structure"/>
    <n v="3500"/>
    <n v="3930"/>
    <n v="112.28571428571429"/>
    <x v="1"/>
    <n v="85"/>
    <n v="46.235294117647058"/>
    <x v="1"/>
    <s v="USD"/>
    <n v="1424844000"/>
    <n v="1425448800"/>
    <x v="825"/>
    <d v="2015-03-04T06:00:00"/>
    <n v="8"/>
    <b v="0"/>
    <b v="1"/>
    <s v="theater/plays"/>
    <x v="3"/>
    <x v="3"/>
  </r>
  <r>
    <n v="931"/>
    <s v="Lowery, Hayden and Cruz"/>
    <s v="Digitized 24/7 budgetary management"/>
    <n v="7900"/>
    <n v="5729"/>
    <n v="72.518987341772146"/>
    <x v="0"/>
    <n v="112"/>
    <n v="51.151785714285715"/>
    <x v="1"/>
    <s v="USD"/>
    <n v="1403931600"/>
    <n v="1404104400"/>
    <x v="826"/>
    <d v="2014-06-30T05:00:00"/>
    <n v="3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n v="144"/>
    <n v="33.909722222222221"/>
    <x v="1"/>
    <s v="USD"/>
    <n v="1394514000"/>
    <n v="1394773200"/>
    <x v="827"/>
    <d v="2014-03-14T05:00:00"/>
    <n v="4"/>
    <b v="0"/>
    <b v="0"/>
    <s v="music/rock"/>
    <x v="1"/>
    <x v="1"/>
  </r>
  <r>
    <n v="933"/>
    <s v="Espinoza Group"/>
    <s v="Implemented tangible support"/>
    <n v="73000"/>
    <n v="175015"/>
    <n v="239.74657534246575"/>
    <x v="1"/>
    <n v="1902"/>
    <n v="92.016298633017882"/>
    <x v="1"/>
    <s v="USD"/>
    <n v="1365397200"/>
    <n v="1366520400"/>
    <x v="828"/>
    <d v="2013-04-21T05:00:00"/>
    <n v="14"/>
    <b v="0"/>
    <b v="0"/>
    <s v="theater/plays"/>
    <x v="3"/>
    <x v="3"/>
  </r>
  <r>
    <n v="934"/>
    <s v="Davis, Crawford and Lopez"/>
    <s v="Reactive radical framework"/>
    <n v="6200"/>
    <n v="11280"/>
    <n v="181.93548387096774"/>
    <x v="1"/>
    <n v="105"/>
    <n v="107.42857142857143"/>
    <x v="1"/>
    <s v="USD"/>
    <n v="1456120800"/>
    <n v="1456639200"/>
    <x v="829"/>
    <d v="2016-02-28T06:00:00"/>
    <n v="7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n v="132"/>
    <n v="75.848484848484844"/>
    <x v="1"/>
    <s v="USD"/>
    <n v="1437714000"/>
    <n v="1438318800"/>
    <x v="830"/>
    <d v="2015-07-31T05:00:00"/>
    <n v="8"/>
    <b v="0"/>
    <b v="0"/>
    <s v="theater/plays"/>
    <x v="3"/>
    <x v="3"/>
  </r>
  <r>
    <n v="936"/>
    <s v="Brown Ltd"/>
    <s v="Enhanced composite contingency"/>
    <n v="103200"/>
    <n v="1690"/>
    <n v="1.6375968992248062"/>
    <x v="0"/>
    <n v="21"/>
    <n v="80.476190476190482"/>
    <x v="1"/>
    <s v="USD"/>
    <n v="1563771600"/>
    <n v="1564030800"/>
    <x v="831"/>
    <d v="2019-07-25T05:00:00"/>
    <n v="4"/>
    <b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n v="976"/>
    <n v="86.978483606557376"/>
    <x v="1"/>
    <s v="USD"/>
    <n v="1448517600"/>
    <n v="1449295200"/>
    <x v="832"/>
    <d v="2015-12-05T06:00:00"/>
    <n v="10"/>
    <b v="0"/>
    <b v="0"/>
    <s v="film &amp; video/documentary"/>
    <x v="4"/>
    <x v="4"/>
  </r>
  <r>
    <n v="938"/>
    <s v="Allen Inc"/>
    <s v="Total dedicated benchmark"/>
    <n v="9200"/>
    <n v="10093"/>
    <n v="109.70652173913044"/>
    <x v="1"/>
    <n v="96"/>
    <n v="105.13541666666667"/>
    <x v="1"/>
    <s v="USD"/>
    <n v="1528779600"/>
    <n v="1531890000"/>
    <x v="833"/>
    <d v="2018-07-18T05:00:00"/>
    <n v="37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n v="1304744400"/>
    <n v="1306213200"/>
    <x v="834"/>
    <d v="2011-05-24T05:00:00"/>
    <n v="18"/>
    <b v="0"/>
    <b v="1"/>
    <s v="games/video games"/>
    <x v="6"/>
    <x v="11"/>
  </r>
  <r>
    <n v="940"/>
    <s v="Wiggins Ltd"/>
    <s v="Upgradable analyzing core"/>
    <n v="9900"/>
    <n v="6161"/>
    <n v="62.232323232323232"/>
    <x v="2"/>
    <n v="66"/>
    <n v="93.348484848484844"/>
    <x v="0"/>
    <s v="CAD"/>
    <n v="1354341600"/>
    <n v="1356242400"/>
    <x v="835"/>
    <d v="2012-12-23T06:00:00"/>
    <n v="23"/>
    <b v="0"/>
    <b v="0"/>
    <s v="technology/web"/>
    <x v="2"/>
    <x v="2"/>
  </r>
  <r>
    <n v="941"/>
    <s v="Luna-Horne"/>
    <s v="Profound exuding pricing structure"/>
    <n v="43000"/>
    <n v="5615"/>
    <n v="13.05813953488372"/>
    <x v="0"/>
    <n v="78"/>
    <n v="71.987179487179489"/>
    <x v="1"/>
    <s v="USD"/>
    <n v="1294552800"/>
    <n v="1297576800"/>
    <x v="836"/>
    <d v="2011-02-13T06:00:00"/>
    <n v="36"/>
    <b v="1"/>
    <b v="0"/>
    <s v="theater/plays"/>
    <x v="3"/>
    <x v="3"/>
  </r>
  <r>
    <n v="942"/>
    <s v="Allen Inc"/>
    <s v="Horizontal optimizing model"/>
    <n v="9600"/>
    <n v="6205"/>
    <n v="64.635416666666671"/>
    <x v="0"/>
    <n v="67"/>
    <n v="92.611940298507463"/>
    <x v="2"/>
    <s v="AUD"/>
    <n v="1295935200"/>
    <n v="1296194400"/>
    <x v="837"/>
    <d v="2011-01-28T06:00:00"/>
    <n v="4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n v="114"/>
    <n v="104.99122807017544"/>
    <x v="1"/>
    <s v="USD"/>
    <n v="1411534800"/>
    <n v="1414558800"/>
    <x v="219"/>
    <d v="2014-10-29T05:00:00"/>
    <n v="36"/>
    <b v="0"/>
    <b v="0"/>
    <s v="food/food trucks"/>
    <x v="0"/>
    <x v="0"/>
  </r>
  <r>
    <n v="944"/>
    <s v="Walter Inc"/>
    <s v="Streamlined 5thgeneration intranet"/>
    <n v="10000"/>
    <n v="8142"/>
    <n v="81.42"/>
    <x v="0"/>
    <n v="263"/>
    <n v="30.958174904942965"/>
    <x v="2"/>
    <s v="AUD"/>
    <n v="1486706400"/>
    <n v="1488348000"/>
    <x v="365"/>
    <d v="2017-03-01T06:00:00"/>
    <n v="2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n v="1691"/>
    <n v="33.001182732111175"/>
    <x v="1"/>
    <s v="USD"/>
    <n v="1333602000"/>
    <n v="1334898000"/>
    <x v="838"/>
    <d v="2012-04-20T05:00:00"/>
    <n v="16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n v="181"/>
    <n v="84.187845303867405"/>
    <x v="1"/>
    <s v="USD"/>
    <n v="1308200400"/>
    <n v="1308373200"/>
    <x v="839"/>
    <d v="2011-06-18T05:00:00"/>
    <n v="3"/>
    <b v="0"/>
    <b v="0"/>
    <s v="theater/plays"/>
    <x v="3"/>
    <x v="3"/>
  </r>
  <r>
    <n v="947"/>
    <s v="Smith-Powell"/>
    <s v="Upgradable clear-thinking hardware"/>
    <n v="3600"/>
    <n v="961"/>
    <n v="26.694444444444443"/>
    <x v="0"/>
    <n v="13"/>
    <n v="73.92307692307692"/>
    <x v="1"/>
    <s v="USD"/>
    <n v="1411707600"/>
    <n v="1412312400"/>
    <x v="840"/>
    <d v="2014-10-03T05:00:00"/>
    <n v="8"/>
    <b v="0"/>
    <b v="0"/>
    <s v="theater/plays"/>
    <x v="3"/>
    <x v="3"/>
  </r>
  <r>
    <n v="948"/>
    <s v="Smith-Hill"/>
    <s v="Integrated holistic paradigm"/>
    <n v="9400"/>
    <n v="5918"/>
    <n v="62.957446808510639"/>
    <x v="3"/>
    <n v="160"/>
    <n v="36.987499999999997"/>
    <x v="1"/>
    <s v="USD"/>
    <n v="1418364000"/>
    <n v="1419228000"/>
    <x v="841"/>
    <d v="2014-12-22T06:00:00"/>
    <n v="11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n v="203"/>
    <n v="46.896551724137929"/>
    <x v="1"/>
    <s v="USD"/>
    <n v="1429333200"/>
    <n v="1430974800"/>
    <x v="842"/>
    <d v="2015-05-07T05:00:00"/>
    <n v="2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x v="843"/>
    <d v="2019-04-21T05:00:00"/>
    <n v="6"/>
    <b v="0"/>
    <b v="1"/>
    <s v="theater/plays"/>
    <x v="3"/>
    <x v="3"/>
  </r>
  <r>
    <n v="951"/>
    <s v="Peterson Ltd"/>
    <s v="Re-engineered 24hour matrix"/>
    <n v="14500"/>
    <n v="159056"/>
    <n v="1096.9379310344827"/>
    <x v="1"/>
    <n v="1559"/>
    <n v="102.02437459910199"/>
    <x v="1"/>
    <s v="USD"/>
    <n v="1482732000"/>
    <n v="1482818400"/>
    <x v="844"/>
    <d v="2016-12-27T06:00:00"/>
    <n v="2"/>
    <b v="0"/>
    <b v="1"/>
    <s v="music/rock"/>
    <x v="1"/>
    <x v="1"/>
  </r>
  <r>
    <n v="952"/>
    <s v="Cummings-Hayes"/>
    <s v="Virtual multi-tasking core"/>
    <n v="145500"/>
    <n v="101987"/>
    <n v="70.094158075601371"/>
    <x v="3"/>
    <n v="2266"/>
    <n v="45.007502206531335"/>
    <x v="1"/>
    <s v="USD"/>
    <n v="1470718800"/>
    <n v="1471928400"/>
    <x v="845"/>
    <d v="2016-08-23T05:00:00"/>
    <n v="15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85714285714292"/>
    <x v="1"/>
    <s v="USD"/>
    <n v="1450591200"/>
    <n v="1453701600"/>
    <x v="846"/>
    <d v="2016-01-25T06:00:00"/>
    <n v="37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75"/>
    <x v="1"/>
    <n v="1548"/>
    <n v="101.02325581395348"/>
    <x v="2"/>
    <s v="AUD"/>
    <n v="1348290000"/>
    <n v="1350363600"/>
    <x v="110"/>
    <d v="2012-10-16T05:00:00"/>
    <n v="25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37499999999994"/>
    <x v="1"/>
    <s v="USD"/>
    <n v="1353823200"/>
    <n v="1353996000"/>
    <x v="847"/>
    <d v="2012-11-27T06:00:00"/>
    <n v="3"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n v="830"/>
    <n v="43.00963855421687"/>
    <x v="1"/>
    <s v="USD"/>
    <n v="1450764000"/>
    <n v="1451109600"/>
    <x v="848"/>
    <d v="2015-12-26T06:00:00"/>
    <n v="5"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n v="131"/>
    <n v="94.916030534351151"/>
    <x v="1"/>
    <s v="USD"/>
    <n v="1329372000"/>
    <n v="1329631200"/>
    <x v="849"/>
    <d v="2012-02-19T06:00:00"/>
    <n v="4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n v="112"/>
    <n v="72.151785714285708"/>
    <x v="1"/>
    <s v="USD"/>
    <n v="1277096400"/>
    <n v="1278997200"/>
    <x v="780"/>
    <d v="2010-07-13T05:00:00"/>
    <n v="23"/>
    <b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n v="130"/>
    <n v="51.007692307692309"/>
    <x v="1"/>
    <s v="USD"/>
    <n v="1277701200"/>
    <n v="1280120400"/>
    <x v="140"/>
    <d v="2010-07-26T05:00:00"/>
    <n v="29"/>
    <b v="0"/>
    <b v="0"/>
    <s v="publishing/translations"/>
    <x v="5"/>
    <x v="18"/>
  </r>
  <r>
    <n v="960"/>
    <s v="Robbins Group"/>
    <s v="Function-based interactive matrix"/>
    <n v="5500"/>
    <n v="4678"/>
    <n v="85.054545454545448"/>
    <x v="0"/>
    <n v="55"/>
    <n v="85.054545454545448"/>
    <x v="1"/>
    <s v="USD"/>
    <n v="1454911200"/>
    <n v="1458104400"/>
    <x v="850"/>
    <d v="2016-03-16T05:00:00"/>
    <n v="38"/>
    <b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n v="155"/>
    <n v="43.87096774193548"/>
    <x v="1"/>
    <s v="USD"/>
    <n v="1297922400"/>
    <n v="1298268000"/>
    <x v="851"/>
    <d v="2011-02-21T06:00:00"/>
    <n v="5"/>
    <b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n v="266"/>
    <n v="40.063909774436091"/>
    <x v="1"/>
    <s v="USD"/>
    <n v="1384408800"/>
    <n v="1386223200"/>
    <x v="852"/>
    <d v="2013-12-05T06:00:00"/>
    <n v="22"/>
    <b v="0"/>
    <b v="0"/>
    <s v="food/food trucks"/>
    <x v="0"/>
    <x v="0"/>
  </r>
  <r>
    <n v="963"/>
    <s v="Rodriguez-Robinson"/>
    <s v="Ergonomic methodical hub"/>
    <n v="5900"/>
    <n v="4997"/>
    <n v="84.694915254237287"/>
    <x v="0"/>
    <n v="114"/>
    <n v="43.833333333333336"/>
    <x v="6"/>
    <s v="EUR"/>
    <n v="1299304800"/>
    <n v="1299823200"/>
    <x v="853"/>
    <d v="2011-03-11T06:00:00"/>
    <n v="7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n v="155"/>
    <n v="84.92903225806451"/>
    <x v="1"/>
    <s v="USD"/>
    <n v="1431320400"/>
    <n v="1431752400"/>
    <x v="854"/>
    <d v="2015-05-16T05:00:00"/>
    <n v="6"/>
    <b v="0"/>
    <b v="0"/>
    <s v="theater/plays"/>
    <x v="3"/>
    <x v="3"/>
  </r>
  <r>
    <n v="965"/>
    <s v="Nunez-King"/>
    <s v="Phased clear-thinking policy"/>
    <n v="2200"/>
    <n v="8501"/>
    <n v="386.40909090909093"/>
    <x v="1"/>
    <n v="207"/>
    <n v="41.067632850241544"/>
    <x v="4"/>
    <s v="GBP"/>
    <n v="1264399200"/>
    <n v="1267855200"/>
    <x v="67"/>
    <d v="2010-03-06T06:00:00"/>
    <n v="41"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n v="245"/>
    <n v="54.971428571428568"/>
    <x v="1"/>
    <s v="USD"/>
    <n v="1497502800"/>
    <n v="1497675600"/>
    <x v="855"/>
    <d v="2017-06-17T05:00:00"/>
    <n v="3"/>
    <b v="0"/>
    <b v="0"/>
    <s v="theater/plays"/>
    <x v="3"/>
    <x v="3"/>
  </r>
  <r>
    <n v="967"/>
    <s v="Howard-Douglas"/>
    <s v="Organized human-resource attitude"/>
    <n v="88400"/>
    <n v="121138"/>
    <n v="137.0339366515837"/>
    <x v="1"/>
    <n v="1573"/>
    <n v="77.010807374443743"/>
    <x v="1"/>
    <s v="USD"/>
    <n v="1333688400"/>
    <n v="1336885200"/>
    <x v="107"/>
    <d v="2012-05-13T05:00:00"/>
    <n v="38"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331"/>
    <x v="1"/>
    <n v="114"/>
    <n v="71.201754385964918"/>
    <x v="1"/>
    <s v="USD"/>
    <n v="1293861600"/>
    <n v="1295157600"/>
    <x v="344"/>
    <d v="2011-01-16T06:00:00"/>
    <n v="16"/>
    <b v="0"/>
    <b v="0"/>
    <s v="food/food trucks"/>
    <x v="0"/>
    <x v="0"/>
  </r>
  <r>
    <n v="969"/>
    <s v="Lopez-King"/>
    <s v="Multi-lateral radical solution"/>
    <n v="7900"/>
    <n v="8550"/>
    <n v="108.22784810126582"/>
    <x v="1"/>
    <n v="93"/>
    <n v="91.935483870967744"/>
    <x v="1"/>
    <s v="USD"/>
    <n v="1576994400"/>
    <n v="1577599200"/>
    <x v="856"/>
    <d v="2019-12-29T06:00:00"/>
    <n v="8"/>
    <b v="0"/>
    <b v="0"/>
    <s v="theater/plays"/>
    <x v="3"/>
    <x v="3"/>
  </r>
  <r>
    <n v="970"/>
    <s v="Glover-Nelson"/>
    <s v="Inverse context-sensitive info-mediaries"/>
    <n v="94900"/>
    <n v="57659"/>
    <n v="60.757639620653322"/>
    <x v="0"/>
    <n v="594"/>
    <n v="97.069023569023571"/>
    <x v="1"/>
    <s v="USD"/>
    <n v="1304917200"/>
    <n v="1305003600"/>
    <x v="857"/>
    <d v="2011-05-10T05:00:00"/>
    <n v="2"/>
    <b v="0"/>
    <b v="0"/>
    <s v="theater/plays"/>
    <x v="3"/>
    <x v="3"/>
  </r>
  <r>
    <n v="971"/>
    <s v="Garner and Sons"/>
    <s v="Versatile neutral workforce"/>
    <n v="5100"/>
    <n v="1414"/>
    <n v="27.725490196078432"/>
    <x v="0"/>
    <n v="24"/>
    <n v="58.916666666666664"/>
    <x v="1"/>
    <s v="USD"/>
    <n v="1381208400"/>
    <n v="1381726800"/>
    <x v="858"/>
    <d v="2013-10-14T05:00:00"/>
    <n v="7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3"/>
    <x v="1"/>
    <n v="1681"/>
    <n v="58.015466983938133"/>
    <x v="1"/>
    <s v="USD"/>
    <n v="1401685200"/>
    <n v="1402462800"/>
    <x v="859"/>
    <d v="2014-06-11T05:00:00"/>
    <n v="10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n v="252"/>
    <n v="103.87301587301587"/>
    <x v="1"/>
    <s v="USD"/>
    <n v="1291960800"/>
    <n v="1292133600"/>
    <x v="860"/>
    <d v="2010-12-12T06:00:00"/>
    <n v="3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n v="32"/>
    <n v="93.46875"/>
    <x v="1"/>
    <s v="USD"/>
    <n v="1368853200"/>
    <n v="1368939600"/>
    <x v="170"/>
    <d v="2013-05-19T05:00:00"/>
    <n v="2"/>
    <b v="0"/>
    <b v="0"/>
    <s v="music/indie rock"/>
    <x v="1"/>
    <x v="7"/>
  </r>
  <r>
    <n v="975"/>
    <s v="Ayala Group"/>
    <s v="Right-sized maximized migration"/>
    <n v="5400"/>
    <n v="8366"/>
    <n v="154.92592592592592"/>
    <x v="1"/>
    <n v="135"/>
    <n v="61.970370370370368"/>
    <x v="1"/>
    <s v="USD"/>
    <n v="1448776800"/>
    <n v="1452146400"/>
    <x v="861"/>
    <d v="2016-01-07T06:00:00"/>
    <n v="40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n v="1296194400"/>
    <n v="1296712800"/>
    <x v="862"/>
    <d v="2011-02-03T06:00:00"/>
    <n v="7"/>
    <b v="0"/>
    <b v="1"/>
    <s v="theater/plays"/>
    <x v="3"/>
    <x v="3"/>
  </r>
  <r>
    <n v="977"/>
    <s v="Johnson Group"/>
    <s v="Vision-oriented interactive solution"/>
    <n v="7000"/>
    <n v="5177"/>
    <n v="73.957142857142856"/>
    <x v="0"/>
    <n v="67"/>
    <n v="77.268656716417908"/>
    <x v="1"/>
    <s v="USD"/>
    <n v="1517983200"/>
    <n v="1520748000"/>
    <x v="863"/>
    <d v="2018-03-11T06:00:00"/>
    <n v="33"/>
    <b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n v="92"/>
    <n v="93.923913043478265"/>
    <x v="1"/>
    <s v="USD"/>
    <n v="1478930400"/>
    <n v="1480831200"/>
    <x v="864"/>
    <d v="2016-12-04T06:00:00"/>
    <n v="23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n v="1015"/>
    <n v="84.969458128078813"/>
    <x v="4"/>
    <s v="GBP"/>
    <n v="1426395600"/>
    <n v="1426914000"/>
    <x v="527"/>
    <d v="2015-03-21T05:00:00"/>
    <n v="7"/>
    <b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n v="742"/>
    <n v="105.97035040431267"/>
    <x v="1"/>
    <s v="USD"/>
    <n v="1446181200"/>
    <n v="1446616800"/>
    <x v="865"/>
    <d v="2015-11-04T06:00:00"/>
    <n v="6"/>
    <b v="1"/>
    <b v="0"/>
    <s v="publishing/nonfiction"/>
    <x v="5"/>
    <x v="9"/>
  </r>
  <r>
    <n v="981"/>
    <s v="Diaz-Little"/>
    <s v="Grass-roots executive synergy"/>
    <n v="6700"/>
    <n v="11941"/>
    <n v="178.22388059701493"/>
    <x v="1"/>
    <n v="323"/>
    <n v="36.969040247678016"/>
    <x v="1"/>
    <s v="USD"/>
    <n v="1514181600"/>
    <n v="1517032800"/>
    <x v="866"/>
    <d v="2018-01-27T06:00:00"/>
    <n v="34"/>
    <b v="0"/>
    <b v="0"/>
    <s v="technology/web"/>
    <x v="2"/>
    <x v="2"/>
  </r>
  <r>
    <n v="982"/>
    <s v="Freeman-French"/>
    <s v="Multi-layered optimal application"/>
    <n v="7200"/>
    <n v="6115"/>
    <n v="84.930555555555557"/>
    <x v="0"/>
    <n v="75"/>
    <n v="81.533333333333331"/>
    <x v="1"/>
    <s v="USD"/>
    <n v="1311051600"/>
    <n v="1311224400"/>
    <x v="867"/>
    <d v="2011-07-21T05:00:00"/>
    <n v="3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n v="2326"/>
    <n v="80.999140154772135"/>
    <x v="1"/>
    <s v="USD"/>
    <n v="1564894800"/>
    <n v="1566190800"/>
    <x v="868"/>
    <d v="2019-08-19T05:00:00"/>
    <n v="16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5"/>
    <x v="1"/>
    <n v="381"/>
    <n v="26.010498687664043"/>
    <x v="1"/>
    <s v="USD"/>
    <n v="1567918800"/>
    <n v="1570165200"/>
    <x v="105"/>
    <d v="2019-10-04T05:00:00"/>
    <n v="27"/>
    <b v="0"/>
    <b v="0"/>
    <s v="theater/plays"/>
    <x v="3"/>
    <x v="3"/>
  </r>
  <r>
    <n v="985"/>
    <s v="Logan-Curtis"/>
    <s v="Enhanced optimal ability"/>
    <n v="170600"/>
    <n v="114523"/>
    <n v="67.129542790152399"/>
    <x v="0"/>
    <n v="4405"/>
    <n v="25.998410896708286"/>
    <x v="1"/>
    <s v="USD"/>
    <n v="1386309600"/>
    <n v="1388556000"/>
    <x v="481"/>
    <d v="2014-01-01T06:00:00"/>
    <n v="27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s v="USD"/>
    <n v="1301979600"/>
    <n v="1303189200"/>
    <x v="253"/>
    <d v="2011-04-19T05:00:00"/>
    <n v="15"/>
    <b v="0"/>
    <b v="0"/>
    <s v="music/rock"/>
    <x v="1"/>
    <x v="1"/>
  </r>
  <r>
    <n v="987"/>
    <s v="Wilson Group"/>
    <s v="Ameliorated foreground focus group"/>
    <n v="6200"/>
    <n v="13441"/>
    <n v="216.79032258064515"/>
    <x v="1"/>
    <n v="480"/>
    <n v="28.002083333333335"/>
    <x v="1"/>
    <s v="USD"/>
    <n v="1493269200"/>
    <n v="1494478800"/>
    <x v="869"/>
    <d v="2017-05-11T05:00:00"/>
    <n v="15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n v="64"/>
    <n v="76.546875"/>
    <x v="1"/>
    <s v="USD"/>
    <n v="1478930400"/>
    <n v="1480744800"/>
    <x v="864"/>
    <d v="2016-12-03T06:00:00"/>
    <n v="22"/>
    <b v="0"/>
    <b v="0"/>
    <s v="publishing/radio &amp; podcasts"/>
    <x v="5"/>
    <x v="15"/>
  </r>
  <r>
    <n v="989"/>
    <s v="Hernandez Inc"/>
    <s v="Versatile dedicated migration"/>
    <n v="2400"/>
    <n v="11990"/>
    <n v="499.58333333333331"/>
    <x v="1"/>
    <n v="226"/>
    <n v="53.053097345132741"/>
    <x v="1"/>
    <s v="USD"/>
    <n v="1555390800"/>
    <n v="1555822800"/>
    <x v="843"/>
    <d v="2019-04-21T05:00:00"/>
    <n v="6"/>
    <b v="0"/>
    <b v="0"/>
    <s v="publishing/translations"/>
    <x v="5"/>
    <x v="18"/>
  </r>
  <r>
    <n v="990"/>
    <s v="Ortiz-Roberts"/>
    <s v="Devolved foreground customer loyalty"/>
    <n v="7800"/>
    <n v="6839"/>
    <n v="87.679487179487182"/>
    <x v="0"/>
    <n v="64"/>
    <n v="106.859375"/>
    <x v="1"/>
    <s v="USD"/>
    <n v="1456984800"/>
    <n v="1458882000"/>
    <x v="289"/>
    <d v="2016-03-25T05:00:00"/>
    <n v="23"/>
    <b v="0"/>
    <b v="1"/>
    <s v="film &amp; video/drama"/>
    <x v="4"/>
    <x v="6"/>
  </r>
  <r>
    <n v="991"/>
    <s v="Ramirez LLC"/>
    <s v="Reduced reciprocal focus group"/>
    <n v="9800"/>
    <n v="11091"/>
    <n v="113.17346938775511"/>
    <x v="1"/>
    <n v="241"/>
    <n v="46.020746887966808"/>
    <x v="1"/>
    <s v="USD"/>
    <n v="1411621200"/>
    <n v="1411966800"/>
    <x v="870"/>
    <d v="2014-09-29T05:00:00"/>
    <n v="5"/>
    <b v="0"/>
    <b v="1"/>
    <s v="music/rock"/>
    <x v="1"/>
    <x v="1"/>
  </r>
  <r>
    <n v="992"/>
    <s v="Morrow Inc"/>
    <s v="Networked global migration"/>
    <n v="3100"/>
    <n v="13223"/>
    <n v="426.54838709677421"/>
    <x v="1"/>
    <n v="132"/>
    <n v="100.17424242424242"/>
    <x v="1"/>
    <s v="USD"/>
    <n v="1525669200"/>
    <n v="1526878800"/>
    <x v="871"/>
    <d v="2018-05-21T05:00:00"/>
    <n v="15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n v="75"/>
    <n v="101.44"/>
    <x v="6"/>
    <s v="EUR"/>
    <n v="1450936800"/>
    <n v="1452405600"/>
    <x v="872"/>
    <d v="2016-01-10T06:00:00"/>
    <n v="18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75"/>
    <x v="0"/>
    <n v="842"/>
    <n v="87.972684085510693"/>
    <x v="1"/>
    <s v="USD"/>
    <n v="1413522000"/>
    <n v="1414040400"/>
    <x v="873"/>
    <d v="2014-10-23T05:00:00"/>
    <n v="7"/>
    <b v="0"/>
    <b v="1"/>
    <s v="publishing/translations"/>
    <x v="5"/>
    <x v="18"/>
  </r>
  <r>
    <n v="995"/>
    <s v="Manning-Hamilton"/>
    <s v="Vision-oriented scalable definition"/>
    <n v="97300"/>
    <n v="153216"/>
    <n v="157.46762589928056"/>
    <x v="1"/>
    <n v="2043"/>
    <n v="74.995594713656388"/>
    <x v="1"/>
    <s v="USD"/>
    <n v="1541307600"/>
    <n v="1543816800"/>
    <x v="874"/>
    <d v="2018-12-03T06:00:00"/>
    <n v="30"/>
    <b v="0"/>
    <b v="1"/>
    <s v="food/food trucks"/>
    <x v="0"/>
    <x v="0"/>
  </r>
  <r>
    <n v="996"/>
    <s v="Butler LLC"/>
    <s v="Future-proofed upward-trending migration"/>
    <n v="6600"/>
    <n v="4814"/>
    <n v="72.939393939393938"/>
    <x v="0"/>
    <n v="112"/>
    <n v="42.982142857142854"/>
    <x v="1"/>
    <s v="USD"/>
    <n v="1357106400"/>
    <n v="1359698400"/>
    <x v="875"/>
    <d v="2013-02-01T06:00:00"/>
    <n v="31"/>
    <b v="0"/>
    <b v="0"/>
    <s v="theater/plays"/>
    <x v="3"/>
    <x v="3"/>
  </r>
  <r>
    <n v="997"/>
    <s v="Ball LLC"/>
    <s v="Right-sized full-range throughput"/>
    <n v="7600"/>
    <n v="4603"/>
    <n v="60.565789473684212"/>
    <x v="3"/>
    <n v="139"/>
    <n v="33.115107913669064"/>
    <x v="6"/>
    <s v="EUR"/>
    <n v="1390197600"/>
    <n v="1390629600"/>
    <x v="876"/>
    <d v="2014-01-25T06:00:00"/>
    <n v="6"/>
    <b v="0"/>
    <b v="0"/>
    <s v="theater/plays"/>
    <x v="3"/>
    <x v="3"/>
  </r>
  <r>
    <n v="998"/>
    <s v="Taylor, Santiago and Flores"/>
    <s v="Polarized composite customer loyalty"/>
    <n v="66600"/>
    <n v="37823"/>
    <n v="56.791291291291294"/>
    <x v="0"/>
    <n v="374"/>
    <n v="101.13101604278074"/>
    <x v="1"/>
    <s v="USD"/>
    <n v="1265868000"/>
    <n v="1267077600"/>
    <x v="877"/>
    <d v="2010-02-25T06:00:00"/>
    <n v="15"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n v="1122"/>
    <n v="55.98841354723708"/>
    <x v="1"/>
    <s v="USD"/>
    <n v="1467176400"/>
    <n v="1467781200"/>
    <x v="878"/>
    <d v="2016-07-06T05:00:00"/>
    <n v="8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7625AB-8902-3E49-9185-0265DBC4E3AB}" name="PivotTable1" cacheId="2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9">
  <location ref="A3:F14" firstHeaderRow="1" firstDataRow="2" firstDataCol="1" rowPageCount="1" colPageCount="1"/>
  <pivotFields count="24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2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numFmtId="1"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2">
    <chartFormat chart="0" format="3" series="1">
      <pivotArea type="data" outline="0" fieldPosition="0">
        <references count="1">
          <reference field="19" count="1" selected="0">
            <x v="0"/>
          </reference>
        </references>
      </pivotArea>
    </chartFormat>
    <chartFormat chart="0" format="4" series="1">
      <pivotArea type="data" outline="0" fieldPosition="0">
        <references count="1">
          <reference field="19" count="1" selected="0">
            <x v="1"/>
          </reference>
        </references>
      </pivotArea>
    </chartFormat>
    <chartFormat chart="0" format="5" series="1">
      <pivotArea type="data" outline="0" fieldPosition="0">
        <references count="1">
          <reference field="19" count="1" selected="0">
            <x v="2"/>
          </reference>
        </references>
      </pivotArea>
    </chartFormat>
    <chartFormat chart="0" format="6" series="1">
      <pivotArea type="data" outline="0" fieldPosition="0">
        <references count="1">
          <reference field="19" count="1" selected="0">
            <x v="3"/>
          </reference>
        </references>
      </pivotArea>
    </chartFormat>
    <chartFormat chart="0" format="7" series="1">
      <pivotArea type="data" outline="0" fieldPosition="0">
        <references count="1">
          <reference field="19" count="1" selected="0">
            <x v="4"/>
          </reference>
        </references>
      </pivotArea>
    </chartFormat>
    <chartFormat chart="0" format="8" series="1">
      <pivotArea type="data" outline="0" fieldPosition="0">
        <references count="1">
          <reference field="19" count="1" selected="0">
            <x v="5"/>
          </reference>
        </references>
      </pivotArea>
    </chartFormat>
    <chartFormat chart="0" format="9" series="1">
      <pivotArea type="data" outline="0" fieldPosition="0">
        <references count="1">
          <reference field="19" count="1" selected="0">
            <x v="6"/>
          </reference>
        </references>
      </pivotArea>
    </chartFormat>
    <chartFormat chart="0" format="10" series="1">
      <pivotArea type="data" outline="0" fieldPosition="0">
        <references count="1">
          <reference field="19" count="1" selected="0">
            <x v="7"/>
          </reference>
        </references>
      </pivotArea>
    </chartFormat>
    <chartFormat chart="0" format="11" series="1">
      <pivotArea type="data" outline="0" fieldPosition="0">
        <references count="1">
          <reference field="19" count="1" selected="0">
            <x v="8"/>
          </reference>
        </references>
      </pivotArea>
    </chartFormat>
    <chartFormat chart="0" format="12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0" format="13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0" format="14" series="1">
      <pivotArea type="data" outline="0" fieldPosition="0">
        <references count="1">
          <reference field="6" count="1" selected="0">
            <x v="2"/>
          </reference>
        </references>
      </pivotArea>
    </chartFormat>
    <chartFormat chart="0" format="15" series="1">
      <pivotArea type="data" outline="0" fieldPosition="0">
        <references count="1">
          <reference field="6" count="1" selected="0">
            <x v="3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2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4" format="2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4" format="2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4" format="2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5" format="2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5" format="2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5" format="2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5" format="2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6" format="2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6" format="2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6" format="2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6" format="2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3" format="2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3" format="2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3" format="2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3" format="2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5" format="2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5" format="2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5" format="2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5" format="2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7" format="2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7" format="2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7" format="2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7" format="2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6DB164-EA41-0741-AA7F-3D346E25E127}" name="PivotTable1" cacheId="2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4:F30" firstHeaderRow="1" firstDataRow="2" firstDataCol="1" rowPageCount="2" colPageCount="1"/>
  <pivotFields count="24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2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numFmtId="1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20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9" hier="-1"/>
  </pageFields>
  <dataFields count="1">
    <dataField name="Count of outcome" fld="6" subtotal="count" baseField="0" baseItem="0"/>
  </dataFields>
  <chartFormats count="13">
    <chartFormat chart="0" format="12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0" format="13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0" format="14" series="1">
      <pivotArea type="data" outline="0" fieldPosition="0">
        <references count="1">
          <reference field="6" count="1" selected="0">
            <x v="2"/>
          </reference>
        </references>
      </pivotArea>
    </chartFormat>
    <chartFormat chart="0" format="15" series="1">
      <pivotArea type="data" outline="0" fieldPosition="0">
        <references count="1">
          <reference field="6" count="1" selected="0">
            <x v="3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2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4" format="2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4" format="2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4" format="2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D1A752-7050-4E40-8DD7-256E69E80F12}" name="PivotTable11" cacheId="2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2">
  <location ref="A4:E18" firstHeaderRow="1" firstDataRow="2" firstDataCol="1" rowPageCount="2" colPageCount="1"/>
  <pivotFields count="24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numFmtId="2" showAll="0"/>
    <pivotField showAll="0"/>
    <pivotField showAll="0"/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numFmtId="1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21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9" hier="-1"/>
    <pageField fld="23" hier="-1"/>
  </pageFields>
  <dataFields count="1">
    <dataField name="Count of outcome" fld="6" subtotal="count" baseField="0" baseItem="0"/>
  </dataFields>
  <chartFormats count="1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7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7" format="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7" format="1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7" format="1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8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8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8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8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0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0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0" format="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930D53-89E9-CF40-A823-99405D8D6E63}" name="PivotTable11" cacheId="2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6">
  <location ref="A6:B19" firstHeaderRow="1" firstDataRow="1" firstDataCol="1" rowPageCount="4" colPageCount="1"/>
  <pivotFields count="24">
    <pivotField showAll="0"/>
    <pivotField showAll="0"/>
    <pivotField showAll="0"/>
    <pivotField showAll="0"/>
    <pivotField dataField="1" showAll="0"/>
    <pivotField numFmtId="1" showAll="0"/>
    <pivotField axis="axisPage" multipleItemSelectionAllowed="1" showAll="0">
      <items count="5">
        <item x="3"/>
        <item x="0"/>
        <item h="1" x="2"/>
        <item x="1"/>
        <item t="default"/>
      </items>
    </pivotField>
    <pivotField showAll="0"/>
    <pivotField numFmtId="2" showAll="0"/>
    <pivotField axis="axisPage" multipleItemSelectionAllowed="1" showAll="0">
      <items count="8">
        <item h="1" x="2"/>
        <item h="1" x="0"/>
        <item h="1" x="5"/>
        <item h="1" x="3"/>
        <item h="1" x="4"/>
        <item h="1" x="6"/>
        <item x="1"/>
        <item t="default"/>
      </items>
    </pivotField>
    <pivotField showAll="0"/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numFmtId="1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21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pageFields count="4">
    <pageField fld="19" hier="-1"/>
    <pageField fld="23" hier="-1"/>
    <pageField fld="9" hier="-1"/>
    <pageField fld="6" hier="-1"/>
  </pageFields>
  <dataFields count="1">
    <dataField name="Sum of pledged" fld="4" baseField="0" baseItem="0"/>
  </dataFields>
  <chartFormats count="5">
    <chartFormat chart="10" format="1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0" format="1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0" format="1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0" format="1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88770A-B86E-F94B-A850-65276B7ED2A4}" name="PivotTable11" cacheId="2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6">
  <location ref="A6:B19" firstHeaderRow="1" firstDataRow="1" firstDataCol="1" rowPageCount="4" colPageCount="1"/>
  <pivotFields count="24">
    <pivotField showAll="0"/>
    <pivotField showAll="0"/>
    <pivotField showAll="0"/>
    <pivotField showAll="0"/>
    <pivotField showAll="0"/>
    <pivotField numFmtId="1" showAll="0"/>
    <pivotField axis="axisPage" dataField="1" multipleItemSelectionAllowed="1" showAll="0">
      <items count="5">
        <item x="3"/>
        <item x="0"/>
        <item h="1" x="2"/>
        <item x="1"/>
        <item t="default"/>
      </items>
    </pivotField>
    <pivotField showAll="0"/>
    <pivotField numFmtId="2" showAll="0"/>
    <pivotField axis="axisPage" multipleItemSelectionAllowed="1" showAll="0">
      <items count="8">
        <item h="1" x="2"/>
        <item h="1" x="0"/>
        <item h="1" x="5"/>
        <item h="1" x="3"/>
        <item h="1" x="4"/>
        <item h="1" x="6"/>
        <item x="1"/>
        <item t="default"/>
      </items>
    </pivotField>
    <pivotField showAll="0"/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numFmtId="1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21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pageFields count="4">
    <pageField fld="19" hier="-1"/>
    <pageField fld="23" hier="-1"/>
    <pageField fld="9" hier="-1"/>
    <pageField fld="6" hier="-1"/>
  </pageFields>
  <dataFields count="1">
    <dataField name="Count of outcome" fld="6" subtotal="count" baseField="0" baseItem="0"/>
  </dataFields>
  <chartFormats count="1">
    <chartFormat chart="10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4E49A5-DD93-E245-9FCE-D0C98710AE28}" name="PivotTable1" cacheId="2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2">
  <location ref="A4:E15" firstHeaderRow="1" firstDataRow="2" firstDataCol="1" rowPageCount="1" colPageCount="1"/>
  <pivotFields count="24">
    <pivotField showAll="0"/>
    <pivotField showAll="0"/>
    <pivotField showAll="0"/>
    <pivotField showAll="0"/>
    <pivotField showAll="0"/>
    <pivotField dataField="1" numFmtId="1" showAll="0"/>
    <pivotField axis="axisCol" showAll="0">
      <items count="5">
        <item x="3"/>
        <item x="0"/>
        <item h="1" x="2"/>
        <item x="1"/>
        <item t="default"/>
      </items>
    </pivotField>
    <pivotField showAll="0"/>
    <pivotField numFmtId="2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numFmtId="1"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1">
    <pageField fld="9" hier="-1"/>
  </pageFields>
  <dataFields count="1">
    <dataField name="Average of Percent Funded" fld="5" subtotal="average" baseField="0" baseItem="0"/>
  </dataFields>
  <chartFormats count="24">
    <chartFormat chart="0" format="3" series="1">
      <pivotArea type="data" outline="0" fieldPosition="0">
        <references count="1">
          <reference field="19" count="1" selected="0">
            <x v="0"/>
          </reference>
        </references>
      </pivotArea>
    </chartFormat>
    <chartFormat chart="0" format="4" series="1">
      <pivotArea type="data" outline="0" fieldPosition="0">
        <references count="1">
          <reference field="19" count="1" selected="0">
            <x v="1"/>
          </reference>
        </references>
      </pivotArea>
    </chartFormat>
    <chartFormat chart="0" format="5" series="1">
      <pivotArea type="data" outline="0" fieldPosition="0">
        <references count="1">
          <reference field="19" count="1" selected="0">
            <x v="2"/>
          </reference>
        </references>
      </pivotArea>
    </chartFormat>
    <chartFormat chart="0" format="6" series="1">
      <pivotArea type="data" outline="0" fieldPosition="0">
        <references count="1">
          <reference field="19" count="1" selected="0">
            <x v="3"/>
          </reference>
        </references>
      </pivotArea>
    </chartFormat>
    <chartFormat chart="0" format="7" series="1">
      <pivotArea type="data" outline="0" fieldPosition="0">
        <references count="1">
          <reference field="19" count="1" selected="0">
            <x v="4"/>
          </reference>
        </references>
      </pivotArea>
    </chartFormat>
    <chartFormat chart="0" format="8" series="1">
      <pivotArea type="data" outline="0" fieldPosition="0">
        <references count="1">
          <reference field="19" count="1" selected="0">
            <x v="5"/>
          </reference>
        </references>
      </pivotArea>
    </chartFormat>
    <chartFormat chart="0" format="9" series="1">
      <pivotArea type="data" outline="0" fieldPosition="0">
        <references count="1">
          <reference field="19" count="1" selected="0">
            <x v="6"/>
          </reference>
        </references>
      </pivotArea>
    </chartFormat>
    <chartFormat chart="0" format="10" series="1">
      <pivotArea type="data" outline="0" fieldPosition="0">
        <references count="1">
          <reference field="19" count="1" selected="0">
            <x v="7"/>
          </reference>
        </references>
      </pivotArea>
    </chartFormat>
    <chartFormat chart="0" format="11" series="1">
      <pivotArea type="data" outline="0" fieldPosition="0">
        <references count="1">
          <reference field="19" count="1" selected="0">
            <x v="8"/>
          </reference>
        </references>
      </pivotArea>
    </chartFormat>
    <chartFormat chart="0" format="12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0" format="13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0" format="14" series="1">
      <pivotArea type="data" outline="0" fieldPosition="0">
        <references count="1">
          <reference field="6" count="1" selected="0">
            <x v="2"/>
          </reference>
        </references>
      </pivotArea>
    </chartFormat>
    <chartFormat chart="0" format="15" series="1">
      <pivotArea type="data" outline="0" fieldPosition="0">
        <references count="1">
          <reference field="6" count="1" selected="0">
            <x v="3"/>
          </reference>
        </references>
      </pivotArea>
    </chartFormat>
    <chartFormat chart="13" format="3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3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3" format="3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3" format="3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3" format="3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8" format="3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8" format="3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8" format="4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21" format="3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1" format="3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1" format="4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B5E9F2-8BC4-A345-A453-2944B24CA6FA}" name="PivotTable1" cacheId="2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2">
  <location ref="A4:E15" firstHeaderRow="1" firstDataRow="2" firstDataCol="1" rowPageCount="1" colPageCount="1"/>
  <pivotFields count="24">
    <pivotField showAll="0"/>
    <pivotField showAll="0"/>
    <pivotField showAll="0"/>
    <pivotField dataField="1" showAll="0"/>
    <pivotField showAll="0"/>
    <pivotField numFmtId="1" showAll="0"/>
    <pivotField axis="axisCol" showAll="0">
      <items count="5">
        <item x="3"/>
        <item x="0"/>
        <item h="1" x="2"/>
        <item x="1"/>
        <item t="default"/>
      </items>
    </pivotField>
    <pivotField showAll="0"/>
    <pivotField numFmtId="2" showAll="0"/>
    <pivotField axis="axisPage" multipleItemSelectionAllowed="1" showAll="0">
      <items count="8">
        <item h="1" x="2"/>
        <item h="1" x="0"/>
        <item h="1" x="5"/>
        <item h="1" x="3"/>
        <item h="1" x="4"/>
        <item h="1" x="6"/>
        <item x="1"/>
        <item t="default"/>
      </items>
    </pivotField>
    <pivotField showAll="0"/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numFmtId="1"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1">
    <pageField fld="9" hier="-1"/>
  </pageFields>
  <dataFields count="1">
    <dataField name="Average of goal" fld="3" subtotal="average" baseField="0" baseItem="0"/>
  </dataFields>
  <chartFormats count="16">
    <chartFormat chart="0" format="3" series="1">
      <pivotArea type="data" outline="0" fieldPosition="0">
        <references count="1">
          <reference field="19" count="1" selected="0">
            <x v="0"/>
          </reference>
        </references>
      </pivotArea>
    </chartFormat>
    <chartFormat chart="0" format="4" series="1">
      <pivotArea type="data" outline="0" fieldPosition="0">
        <references count="1">
          <reference field="19" count="1" selected="0">
            <x v="1"/>
          </reference>
        </references>
      </pivotArea>
    </chartFormat>
    <chartFormat chart="0" format="5" series="1">
      <pivotArea type="data" outline="0" fieldPosition="0">
        <references count="1">
          <reference field="19" count="1" selected="0">
            <x v="2"/>
          </reference>
        </references>
      </pivotArea>
    </chartFormat>
    <chartFormat chart="0" format="6" series="1">
      <pivotArea type="data" outline="0" fieldPosition="0">
        <references count="1">
          <reference field="19" count="1" selected="0">
            <x v="3"/>
          </reference>
        </references>
      </pivotArea>
    </chartFormat>
    <chartFormat chart="0" format="7" series="1">
      <pivotArea type="data" outline="0" fieldPosition="0">
        <references count="1">
          <reference field="19" count="1" selected="0">
            <x v="4"/>
          </reference>
        </references>
      </pivotArea>
    </chartFormat>
    <chartFormat chart="0" format="8" series="1">
      <pivotArea type="data" outline="0" fieldPosition="0">
        <references count="1">
          <reference field="19" count="1" selected="0">
            <x v="5"/>
          </reference>
        </references>
      </pivotArea>
    </chartFormat>
    <chartFormat chart="0" format="9" series="1">
      <pivotArea type="data" outline="0" fieldPosition="0">
        <references count="1">
          <reference field="19" count="1" selected="0">
            <x v="6"/>
          </reference>
        </references>
      </pivotArea>
    </chartFormat>
    <chartFormat chart="0" format="10" series="1">
      <pivotArea type="data" outline="0" fieldPosition="0">
        <references count="1">
          <reference field="19" count="1" selected="0">
            <x v="7"/>
          </reference>
        </references>
      </pivotArea>
    </chartFormat>
    <chartFormat chart="0" format="11" series="1">
      <pivotArea type="data" outline="0" fieldPosition="0">
        <references count="1">
          <reference field="19" count="1" selected="0">
            <x v="8"/>
          </reference>
        </references>
      </pivotArea>
    </chartFormat>
    <chartFormat chart="0" format="12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0" format="13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0" format="14" series="1">
      <pivotArea type="data" outline="0" fieldPosition="0">
        <references count="1">
          <reference field="6" count="1" selected="0">
            <x v="2"/>
          </reference>
        </references>
      </pivotArea>
    </chartFormat>
    <chartFormat chart="0" format="15" series="1">
      <pivotArea type="data" outline="0" fieldPosition="0">
        <references count="1">
          <reference field="6" count="1" selected="0">
            <x v="3"/>
          </reference>
        </references>
      </pivotArea>
    </chartFormat>
    <chartFormat chart="21" format="4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1" format="4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21" format="4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4E0939-7541-3C4A-B73C-CF16CED95B74}" name="PivotTable1" cacheId="2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1">
  <location ref="A3:B7" firstHeaderRow="1" firstDataRow="1" firstDataCol="1" rowPageCount="1" colPageCount="1"/>
  <pivotFields count="24">
    <pivotField showAll="0"/>
    <pivotField showAll="0"/>
    <pivotField showAll="0"/>
    <pivotField showAll="0"/>
    <pivotField showAll="0"/>
    <pivotField numFmtId="1" showAll="0"/>
    <pivotField axis="axisRow" showAll="0">
      <items count="5">
        <item x="3"/>
        <item x="0"/>
        <item h="1" x="2"/>
        <item x="1"/>
        <item t="default"/>
      </items>
    </pivotField>
    <pivotField showAll="0"/>
    <pivotField numFmtId="2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dataField="1" numFmtId="1" showAll="0"/>
    <pivotField showAll="0"/>
    <pivotField showAll="0"/>
    <pivotField showAll="0"/>
    <pivotField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6"/>
  </rowFields>
  <rowItems count="4">
    <i>
      <x/>
    </i>
    <i>
      <x v="1"/>
    </i>
    <i>
      <x v="3"/>
    </i>
    <i t="grand">
      <x/>
    </i>
  </rowItems>
  <colItems count="1">
    <i/>
  </colItems>
  <pageFields count="1">
    <pageField fld="9" hier="-1"/>
  </pageFields>
  <dataFields count="1">
    <dataField name="Average of Length of Campaign" fld="15" subtotal="average" baseField="0" baseItem="0"/>
  </dataFields>
  <chartFormats count="16">
    <chartFormat chart="0" format="12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0" format="13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0" format="14" series="1">
      <pivotArea type="data" outline="0" fieldPosition="0">
        <references count="1">
          <reference field="6" count="1" selected="0">
            <x v="2"/>
          </reference>
        </references>
      </pivotArea>
    </chartFormat>
    <chartFormat chart="0" format="15" series="1">
      <pivotArea type="data" outline="0" fieldPosition="0">
        <references count="1">
          <reference field="6" count="1" selected="0">
            <x v="3"/>
          </reference>
        </references>
      </pivotArea>
    </chartFormat>
    <chartFormat chart="15" format="2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5" format="3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5" format="3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5" format="3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5" format="3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34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5" format="35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5" format="36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8" format="4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42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8" format="43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8" format="44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FED9CF-D440-2D40-8708-6357697033E4}" name="PivotTable1" cacheId="2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1">
  <location ref="A3:C7" firstHeaderRow="0" firstDataRow="1" firstDataCol="1" rowPageCount="1" colPageCount="1"/>
  <pivotFields count="24">
    <pivotField showAll="0"/>
    <pivotField showAll="0"/>
    <pivotField showAll="0"/>
    <pivotField showAll="0"/>
    <pivotField showAll="0"/>
    <pivotField numFmtId="1" showAll="0"/>
    <pivotField axis="axisRow" showAll="0">
      <items count="5">
        <item x="3"/>
        <item x="0"/>
        <item h="1" x="2"/>
        <item x="1"/>
        <item t="default"/>
      </items>
    </pivotField>
    <pivotField dataField="1" showAll="0"/>
    <pivotField dataField="1" numFmtId="2" showAll="0"/>
    <pivotField axis="axisPage" multipleItemSelectionAllowed="1" showAll="0">
      <items count="8">
        <item h="1" x="2"/>
        <item h="1" x="0"/>
        <item h="1" x="5"/>
        <item h="1" x="3"/>
        <item h="1" x="4"/>
        <item h="1" x="6"/>
        <item x="1"/>
        <item t="default"/>
      </items>
    </pivotField>
    <pivotField showAll="0"/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numFmtId="1" showAll="0"/>
    <pivotField showAll="0"/>
    <pivotField showAll="0"/>
    <pivotField showAll="0"/>
    <pivotField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6"/>
  </rowFields>
  <rowItems count="4">
    <i>
      <x/>
    </i>
    <i>
      <x v="1"/>
    </i>
    <i>
      <x v="3"/>
    </i>
    <i t="grand">
      <x/>
    </i>
  </rowItems>
  <colFields count="1">
    <field x="-2"/>
  </colFields>
  <colItems count="2">
    <i>
      <x/>
    </i>
    <i i="1">
      <x v="1"/>
    </i>
  </colItems>
  <pageFields count="1">
    <pageField fld="9" hier="-1"/>
  </pageFields>
  <dataFields count="2">
    <dataField name="Average of backers_count" fld="7" subtotal="average" baseField="0" baseItem="0"/>
    <dataField name="Average of Average Donation" fld="8" subtotal="average" baseField="0" baseItem="0"/>
  </dataFields>
  <chartFormats count="17">
    <chartFormat chart="0" format="12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0" format="13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0" format="14" series="1">
      <pivotArea type="data" outline="0" fieldPosition="0">
        <references count="1">
          <reference field="6" count="1" selected="0">
            <x v="2"/>
          </reference>
        </references>
      </pivotArea>
    </chartFormat>
    <chartFormat chart="0" format="15" series="1">
      <pivotArea type="data" outline="0" fieldPosition="0">
        <references count="1">
          <reference field="6" count="1" selected="0">
            <x v="3"/>
          </reference>
        </references>
      </pivotArea>
    </chartFormat>
    <chartFormat chart="17" format="3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3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7" format="32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7" format="33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7" format="3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8" format="3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36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8" format="37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8" format="38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8" format="3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7" format="35">
      <pivotArea type="data" outline="0" fieldPosition="0">
        <references count="2">
          <reference field="4294967294" count="1" selected="0">
            <x v="1"/>
          </reference>
          <reference field="6" count="1" selected="0">
            <x v="0"/>
          </reference>
        </references>
      </pivotArea>
    </chartFormat>
    <chartFormat chart="17" format="36">
      <pivotArea type="data" outline="0" fieldPosition="0">
        <references count="2">
          <reference field="4294967294" count="1" selected="0">
            <x v="1"/>
          </reference>
          <reference field="6" count="1" selected="0">
            <x v="1"/>
          </reference>
        </references>
      </pivotArea>
    </chartFormat>
    <chartFormat chart="17" format="37">
      <pivotArea type="data" outline="0" fieldPosition="0">
        <references count="2">
          <reference field="4294967294" count="1" selected="0">
            <x v="1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F9F1381-736F-2042-99FC-90EF5A6652C1}" name="Table2" displayName="Table2" ref="A1:U1001" totalsRowShown="0" headerRowDxfId="31">
  <autoFilter ref="A1:U1001" xr:uid="{0F9F1381-736F-2042-99FC-90EF5A6652C1}"/>
  <tableColumns count="21">
    <tableColumn id="1" xr3:uid="{EA45D370-7CC7-874E-AC13-0544A31E774B}" name="id"/>
    <tableColumn id="2" xr3:uid="{97E721DD-47CB-6246-96FB-E317F0C4A4B8}" name="name"/>
    <tableColumn id="3" xr3:uid="{67A22C26-75AB-2349-91E9-73FE8AAFBF31}" name="blurb" dataDxfId="30"/>
    <tableColumn id="4" xr3:uid="{9D9D18F2-217A-0149-A334-420180143E11}" name="goal"/>
    <tableColumn id="5" xr3:uid="{EE28F558-5469-9945-9B46-502584F6477B}" name="pledged"/>
    <tableColumn id="15" xr3:uid="{D4BF1202-8EFC-934D-9E75-318050EB8A45}" name="Percent Funded" dataDxfId="29">
      <calculatedColumnFormula>100*Table2[[#This Row],[pledged]]/Table2[[#This Row],[goal]]</calculatedColumnFormula>
    </tableColumn>
    <tableColumn id="6" xr3:uid="{511B7326-9BFE-9E43-8BF0-2DBEDCED2D4B}" name="outcome"/>
    <tableColumn id="7" xr3:uid="{A55534E0-EED7-AB4D-BE1C-34845B75936B}" name="backers_count"/>
    <tableColumn id="16" xr3:uid="{A3783CCE-1365-9A46-AF6F-9EFB6E6601A6}" name="Average Donation" dataDxfId="28">
      <calculatedColumnFormula>IF(Table2[[#This Row],[pledged]]&gt;0,Table2[[#This Row],[pledged]]/Table2[[#This Row],[backers_count]],0)</calculatedColumnFormula>
    </tableColumn>
    <tableColumn id="8" xr3:uid="{8251D538-7B18-B34F-86DD-0E860971F0FB}" name="country"/>
    <tableColumn id="9" xr3:uid="{E10F7790-3874-6B4D-8378-688A638D00BC}" name="currency"/>
    <tableColumn id="10" xr3:uid="{746648F0-D052-B740-B6FA-DB30B9B59B45}" name="launched_at"/>
    <tableColumn id="11" xr3:uid="{E22572B5-F61A-5E4C-B72F-3111B03799BA}" name="deadline"/>
    <tableColumn id="23" xr3:uid="{4EB3A586-BD52-8F42-9919-AEBC9D0ECD20}" name="Date Created Conversion" dataDxfId="27">
      <calculatedColumnFormula>(((L2/60)/60)/24)+DATE(1970,1,1)</calculatedColumnFormula>
    </tableColumn>
    <tableColumn id="22" xr3:uid="{A96D13A6-CF73-9C4C-B693-B5D534B11290}" name="Date Ended Conversion" dataDxfId="26">
      <calculatedColumnFormula>(((M2/60)/60)/24)+DATE(1970,1,1)</calculatedColumnFormula>
    </tableColumn>
    <tableColumn id="17" xr3:uid="{ABE0BF1D-BAFA-5248-A8E1-875C75360994}" name="Length of Campaign" dataDxfId="25">
      <calculatedColumnFormula>_xlfn.DAYS(Table2[[#This Row],[Date Ended Conversion]],Table2[[#This Row],[Date Created Conversion]])+1</calculatedColumnFormula>
    </tableColumn>
    <tableColumn id="12" xr3:uid="{104BD23E-02D5-6547-BB95-F248B7900DDF}" name="staff_pick"/>
    <tableColumn id="13" xr3:uid="{9959AC06-ADE2-7E4F-B24D-0BF4B4104B7A}" name="spotlight"/>
    <tableColumn id="14" xr3:uid="{6A61FA67-CD2E-5C4E-A7DA-264F054C8D5E}" name="category &amp; sub-category"/>
    <tableColumn id="20" xr3:uid="{00023D23-373D-7643-981D-4B9783E889B5}" name="Parent Category" dataDxfId="24">
      <calculatedColumnFormula>_xlfn.TEXTBEFORE(Table2[[#This Row],[category &amp; sub-category]],"/")</calculatedColumnFormula>
    </tableColumn>
    <tableColumn id="21" xr3:uid="{98028D1A-9D2C-544C-BAC3-8902F90799C0}" name="Sub-Category" dataDxfId="23">
      <calculatedColumnFormula>_xlfn.TEXTAFTER(Table2[[#This Row],[category &amp; sub-category]],"/")</calculatedColumnFormula>
    </tableColumn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E733CFA-8F99-7846-A3DD-98C56A1D3486}" name="Table1" displayName="Table1" ref="A1:H13" totalsRowShown="0">
  <autoFilter ref="A1:H13" xr:uid="{9E733CFA-8F99-7846-A3DD-98C56A1D3486}"/>
  <tableColumns count="8">
    <tableColumn id="1" xr3:uid="{4492C949-E20D-654F-8A4F-515212C460A4}" name="Goal"/>
    <tableColumn id="2" xr3:uid="{F34D2FE0-C0BC-8546-A3C7-4F932644BAE4}" name="Number Successful"/>
    <tableColumn id="3" xr3:uid="{45565871-98CA-BB4A-A53E-671FC58F7B4E}" name="Number Failed"/>
    <tableColumn id="4" xr3:uid="{B8224FB1-3AF4-FE45-8420-CF74D19DFC25}" name="Number Canceled"/>
    <tableColumn id="5" xr3:uid="{BC5E070F-389A-CF44-A855-A4E739CACC7B}" name="Total Projects">
      <calculatedColumnFormula>SUM(B2:D2)</calculatedColumnFormula>
    </tableColumn>
    <tableColumn id="6" xr3:uid="{9BB145DA-EA25-914D-BA8C-6B5B15C9B70E}" name="Percentage Successful" dataDxfId="22">
      <calculatedColumnFormula>B2/E2</calculatedColumnFormula>
    </tableColumn>
    <tableColumn id="7" xr3:uid="{BE4C3843-A8B3-2B41-8D17-596A743DC4B1}" name="Percentage Failed" dataDxfId="21">
      <calculatedColumnFormula>C2/E2</calculatedColumnFormula>
    </tableColumn>
    <tableColumn id="8" xr3:uid="{9E504E88-D0C5-BC45-A2EF-C6B0AA66A93A}" name="Percentage Canceled" dataDxfId="20">
      <calculatedColumnFormula>D2/E2</calculatedColumnFormula>
    </tableColumn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6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ivotTable" Target="../pivotTables/pivotTable7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ivotTable" Target="../pivotTables/pivotTable8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ivotTable" Target="../pivotTables/pivotTable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4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0"/>
  </sheetPr>
  <dimension ref="A1:N1001"/>
  <sheetViews>
    <sheetView topLeftCell="B1" workbookViewId="0">
      <selection activeCell="N2" sqref="N2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7" max="7" width="13" bestFit="1" customWidth="1"/>
    <col min="10" max="11" width="11.1640625" bestFit="1" customWidth="1"/>
    <col min="14" max="14" width="28" bestFit="1" customWidth="1"/>
  </cols>
  <sheetData>
    <row r="1" spans="1:14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2028</v>
      </c>
    </row>
    <row r="2" spans="1:14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>
        <v>1450159200</v>
      </c>
      <c r="L2" t="b">
        <v>0</v>
      </c>
      <c r="M2" t="b">
        <v>0</v>
      </c>
      <c r="N2" t="s">
        <v>17</v>
      </c>
    </row>
    <row r="3" spans="1:14" ht="17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 t="s">
        <v>20</v>
      </c>
      <c r="G3">
        <v>158</v>
      </c>
      <c r="H3" t="s">
        <v>21</v>
      </c>
      <c r="I3" t="s">
        <v>22</v>
      </c>
      <c r="J3">
        <v>1408424400</v>
      </c>
      <c r="K3">
        <v>1408597200</v>
      </c>
      <c r="L3" t="b">
        <v>0</v>
      </c>
      <c r="M3" t="b">
        <v>1</v>
      </c>
      <c r="N3" t="s">
        <v>23</v>
      </c>
    </row>
    <row r="4" spans="1:14" ht="34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 t="s">
        <v>20</v>
      </c>
      <c r="G4">
        <v>1425</v>
      </c>
      <c r="H4" t="s">
        <v>26</v>
      </c>
      <c r="I4" t="s">
        <v>27</v>
      </c>
      <c r="J4">
        <v>1384668000</v>
      </c>
      <c r="K4">
        <v>1384840800</v>
      </c>
      <c r="L4" t="b">
        <v>0</v>
      </c>
      <c r="M4" t="b">
        <v>0</v>
      </c>
      <c r="N4" t="s">
        <v>28</v>
      </c>
    </row>
    <row r="5" spans="1:14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 t="s">
        <v>14</v>
      </c>
      <c r="G5">
        <v>24</v>
      </c>
      <c r="H5" t="s">
        <v>21</v>
      </c>
      <c r="I5" t="s">
        <v>22</v>
      </c>
      <c r="J5">
        <v>1565499600</v>
      </c>
      <c r="K5">
        <v>1568955600</v>
      </c>
      <c r="L5" t="b">
        <v>0</v>
      </c>
      <c r="M5" t="b">
        <v>0</v>
      </c>
      <c r="N5" t="s">
        <v>23</v>
      </c>
    </row>
    <row r="6" spans="1:14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 t="s">
        <v>14</v>
      </c>
      <c r="G6">
        <v>53</v>
      </c>
      <c r="H6" t="s">
        <v>21</v>
      </c>
      <c r="I6" t="s">
        <v>22</v>
      </c>
      <c r="J6">
        <v>1547964000</v>
      </c>
      <c r="K6">
        <v>1548309600</v>
      </c>
      <c r="L6" t="b">
        <v>0</v>
      </c>
      <c r="M6" t="b">
        <v>0</v>
      </c>
      <c r="N6" t="s">
        <v>33</v>
      </c>
    </row>
    <row r="7" spans="1:14" ht="17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 t="s">
        <v>20</v>
      </c>
      <c r="G7">
        <v>174</v>
      </c>
      <c r="H7" t="s">
        <v>36</v>
      </c>
      <c r="I7" t="s">
        <v>37</v>
      </c>
      <c r="J7">
        <v>1346130000</v>
      </c>
      <c r="K7">
        <v>1347080400</v>
      </c>
      <c r="L7" t="b">
        <v>0</v>
      </c>
      <c r="M7" t="b">
        <v>0</v>
      </c>
      <c r="N7" t="s">
        <v>33</v>
      </c>
    </row>
    <row r="8" spans="1:14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 t="s">
        <v>14</v>
      </c>
      <c r="G8">
        <v>18</v>
      </c>
      <c r="H8" t="s">
        <v>40</v>
      </c>
      <c r="I8" t="s">
        <v>41</v>
      </c>
      <c r="J8">
        <v>1505278800</v>
      </c>
      <c r="K8">
        <v>1505365200</v>
      </c>
      <c r="L8" t="b">
        <v>0</v>
      </c>
      <c r="M8" t="b">
        <v>0</v>
      </c>
      <c r="N8" t="s">
        <v>42</v>
      </c>
    </row>
    <row r="9" spans="1:14" ht="17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 t="s">
        <v>20</v>
      </c>
      <c r="G9">
        <v>227</v>
      </c>
      <c r="H9" t="s">
        <v>36</v>
      </c>
      <c r="I9" t="s">
        <v>37</v>
      </c>
      <c r="J9">
        <v>1439442000</v>
      </c>
      <c r="K9">
        <v>1439614800</v>
      </c>
      <c r="L9" t="b">
        <v>0</v>
      </c>
      <c r="M9" t="b">
        <v>0</v>
      </c>
      <c r="N9" t="s">
        <v>33</v>
      </c>
    </row>
    <row r="10" spans="1:14" ht="17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 t="s">
        <v>47</v>
      </c>
      <c r="G10">
        <v>708</v>
      </c>
      <c r="H10" t="s">
        <v>36</v>
      </c>
      <c r="I10" t="s">
        <v>37</v>
      </c>
      <c r="J10">
        <v>1281330000</v>
      </c>
      <c r="K10">
        <v>1281502800</v>
      </c>
      <c r="L10" t="b">
        <v>0</v>
      </c>
      <c r="M10" t="b">
        <v>0</v>
      </c>
      <c r="N10" t="s">
        <v>33</v>
      </c>
    </row>
    <row r="11" spans="1:14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 t="s">
        <v>14</v>
      </c>
      <c r="G11">
        <v>44</v>
      </c>
      <c r="H11" t="s">
        <v>21</v>
      </c>
      <c r="I11" t="s">
        <v>22</v>
      </c>
      <c r="J11">
        <v>1379566800</v>
      </c>
      <c r="K11">
        <v>1383804000</v>
      </c>
      <c r="L11" t="b">
        <v>0</v>
      </c>
      <c r="M11" t="b">
        <v>0</v>
      </c>
      <c r="N11" t="s">
        <v>50</v>
      </c>
    </row>
    <row r="12" spans="1:14" ht="17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 t="s">
        <v>20</v>
      </c>
      <c r="G12">
        <v>220</v>
      </c>
      <c r="H12" t="s">
        <v>21</v>
      </c>
      <c r="I12" t="s">
        <v>22</v>
      </c>
      <c r="J12">
        <v>1281762000</v>
      </c>
      <c r="K12">
        <v>1285909200</v>
      </c>
      <c r="L12" t="b">
        <v>0</v>
      </c>
      <c r="M12" t="b">
        <v>0</v>
      </c>
      <c r="N12" t="s">
        <v>53</v>
      </c>
    </row>
    <row r="13" spans="1:14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 t="s">
        <v>14</v>
      </c>
      <c r="G13">
        <v>27</v>
      </c>
      <c r="H13" t="s">
        <v>21</v>
      </c>
      <c r="I13" t="s">
        <v>22</v>
      </c>
      <c r="J13">
        <v>1285045200</v>
      </c>
      <c r="K13">
        <v>1285563600</v>
      </c>
      <c r="L13" t="b">
        <v>0</v>
      </c>
      <c r="M13" t="b">
        <v>1</v>
      </c>
      <c r="N13" t="s">
        <v>33</v>
      </c>
    </row>
    <row r="14" spans="1:14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 t="s">
        <v>14</v>
      </c>
      <c r="G14">
        <v>55</v>
      </c>
      <c r="H14" t="s">
        <v>21</v>
      </c>
      <c r="I14" t="s">
        <v>22</v>
      </c>
      <c r="J14">
        <v>1571720400</v>
      </c>
      <c r="K14">
        <v>1572411600</v>
      </c>
      <c r="L14" t="b">
        <v>0</v>
      </c>
      <c r="M14" t="b">
        <v>0</v>
      </c>
      <c r="N14" t="s">
        <v>53</v>
      </c>
    </row>
    <row r="15" spans="1:14" ht="34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 t="s">
        <v>20</v>
      </c>
      <c r="G15">
        <v>98</v>
      </c>
      <c r="H15" t="s">
        <v>21</v>
      </c>
      <c r="I15" t="s">
        <v>22</v>
      </c>
      <c r="J15">
        <v>1465621200</v>
      </c>
      <c r="K15">
        <v>1466658000</v>
      </c>
      <c r="L15" t="b">
        <v>0</v>
      </c>
      <c r="M15" t="b">
        <v>0</v>
      </c>
      <c r="N15" t="s">
        <v>60</v>
      </c>
    </row>
    <row r="16" spans="1:14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 t="s">
        <v>14</v>
      </c>
      <c r="G16">
        <v>200</v>
      </c>
      <c r="H16" t="s">
        <v>21</v>
      </c>
      <c r="I16" t="s">
        <v>22</v>
      </c>
      <c r="J16">
        <v>1331013600</v>
      </c>
      <c r="K16">
        <v>1333342800</v>
      </c>
      <c r="L16" t="b">
        <v>0</v>
      </c>
      <c r="M16" t="b">
        <v>0</v>
      </c>
      <c r="N16" t="s">
        <v>60</v>
      </c>
    </row>
    <row r="17" spans="1:14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 t="s">
        <v>14</v>
      </c>
      <c r="G17">
        <v>452</v>
      </c>
      <c r="H17" t="s">
        <v>21</v>
      </c>
      <c r="I17" t="s">
        <v>22</v>
      </c>
      <c r="J17">
        <v>1575957600</v>
      </c>
      <c r="K17">
        <v>1576303200</v>
      </c>
      <c r="L17" t="b">
        <v>0</v>
      </c>
      <c r="M17" t="b">
        <v>0</v>
      </c>
      <c r="N17" t="s">
        <v>65</v>
      </c>
    </row>
    <row r="18" spans="1:14" ht="17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 t="s">
        <v>20</v>
      </c>
      <c r="G18">
        <v>100</v>
      </c>
      <c r="H18" t="s">
        <v>21</v>
      </c>
      <c r="I18" t="s">
        <v>22</v>
      </c>
      <c r="J18">
        <v>1390370400</v>
      </c>
      <c r="K18">
        <v>1392271200</v>
      </c>
      <c r="L18" t="b">
        <v>0</v>
      </c>
      <c r="M18" t="b">
        <v>0</v>
      </c>
      <c r="N18" t="s">
        <v>68</v>
      </c>
    </row>
    <row r="19" spans="1:14" ht="17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t="s">
        <v>20</v>
      </c>
      <c r="G19">
        <v>1249</v>
      </c>
      <c r="H19" t="s">
        <v>21</v>
      </c>
      <c r="I19" t="s">
        <v>22</v>
      </c>
      <c r="J19">
        <v>1294812000</v>
      </c>
      <c r="K19">
        <v>1294898400</v>
      </c>
      <c r="L19" t="b">
        <v>0</v>
      </c>
      <c r="M19" t="b">
        <v>0</v>
      </c>
      <c r="N19" t="s">
        <v>71</v>
      </c>
    </row>
    <row r="20" spans="1:14" ht="17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 t="s">
        <v>74</v>
      </c>
      <c r="G20">
        <v>135</v>
      </c>
      <c r="H20" t="s">
        <v>21</v>
      </c>
      <c r="I20" t="s">
        <v>22</v>
      </c>
      <c r="J20">
        <v>1536382800</v>
      </c>
      <c r="K20">
        <v>1537074000</v>
      </c>
      <c r="L20" t="b">
        <v>0</v>
      </c>
      <c r="M20" t="b">
        <v>0</v>
      </c>
      <c r="N20" t="s">
        <v>33</v>
      </c>
    </row>
    <row r="21" spans="1:14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 t="s">
        <v>14</v>
      </c>
      <c r="G21">
        <v>674</v>
      </c>
      <c r="H21" t="s">
        <v>21</v>
      </c>
      <c r="I21" t="s">
        <v>22</v>
      </c>
      <c r="J21">
        <v>1551679200</v>
      </c>
      <c r="K21">
        <v>1553490000</v>
      </c>
      <c r="L21" t="b">
        <v>0</v>
      </c>
      <c r="M21" t="b">
        <v>1</v>
      </c>
      <c r="N21" t="s">
        <v>33</v>
      </c>
    </row>
    <row r="22" spans="1:14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t="s">
        <v>20</v>
      </c>
      <c r="G22">
        <v>1396</v>
      </c>
      <c r="H22" t="s">
        <v>21</v>
      </c>
      <c r="I22" t="s">
        <v>22</v>
      </c>
      <c r="J22">
        <v>1406523600</v>
      </c>
      <c r="K22">
        <v>1406523600</v>
      </c>
      <c r="L22" t="b">
        <v>0</v>
      </c>
      <c r="M22" t="b">
        <v>0</v>
      </c>
      <c r="N22" t="s">
        <v>53</v>
      </c>
    </row>
    <row r="23" spans="1:14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 t="s">
        <v>14</v>
      </c>
      <c r="G23">
        <v>558</v>
      </c>
      <c r="H23" t="s">
        <v>21</v>
      </c>
      <c r="I23" t="s">
        <v>22</v>
      </c>
      <c r="J23">
        <v>1313384400</v>
      </c>
      <c r="K23">
        <v>1316322000</v>
      </c>
      <c r="L23" t="b">
        <v>0</v>
      </c>
      <c r="M23" t="b">
        <v>0</v>
      </c>
      <c r="N23" t="s">
        <v>33</v>
      </c>
    </row>
    <row r="24" spans="1:14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 t="s">
        <v>20</v>
      </c>
      <c r="G24">
        <v>890</v>
      </c>
      <c r="H24" t="s">
        <v>21</v>
      </c>
      <c r="I24" t="s">
        <v>22</v>
      </c>
      <c r="J24">
        <v>1522731600</v>
      </c>
      <c r="K24">
        <v>1524027600</v>
      </c>
      <c r="L24" t="b">
        <v>0</v>
      </c>
      <c r="M24" t="b">
        <v>0</v>
      </c>
      <c r="N24" t="s">
        <v>33</v>
      </c>
    </row>
    <row r="25" spans="1:14" ht="17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 t="s">
        <v>20</v>
      </c>
      <c r="G25">
        <v>142</v>
      </c>
      <c r="H25" t="s">
        <v>40</v>
      </c>
      <c r="I25" t="s">
        <v>41</v>
      </c>
      <c r="J25">
        <v>1550124000</v>
      </c>
      <c r="K25">
        <v>1554699600</v>
      </c>
      <c r="L25" t="b">
        <v>0</v>
      </c>
      <c r="M25" t="b">
        <v>0</v>
      </c>
      <c r="N25" t="s">
        <v>42</v>
      </c>
    </row>
    <row r="26" spans="1:14" ht="17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t="s">
        <v>20</v>
      </c>
      <c r="G26">
        <v>2673</v>
      </c>
      <c r="H26" t="s">
        <v>21</v>
      </c>
      <c r="I26" t="s">
        <v>22</v>
      </c>
      <c r="J26">
        <v>1403326800</v>
      </c>
      <c r="K26">
        <v>1403499600</v>
      </c>
      <c r="L26" t="b">
        <v>0</v>
      </c>
      <c r="M26" t="b">
        <v>0</v>
      </c>
      <c r="N26" t="s">
        <v>65</v>
      </c>
    </row>
    <row r="27" spans="1:14" ht="17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 t="s">
        <v>20</v>
      </c>
      <c r="G27">
        <v>163</v>
      </c>
      <c r="H27" t="s">
        <v>21</v>
      </c>
      <c r="I27" t="s">
        <v>22</v>
      </c>
      <c r="J27">
        <v>1305694800</v>
      </c>
      <c r="K27">
        <v>1307422800</v>
      </c>
      <c r="L27" t="b">
        <v>0</v>
      </c>
      <c r="M27" t="b">
        <v>1</v>
      </c>
      <c r="N27" t="s">
        <v>89</v>
      </c>
    </row>
    <row r="28" spans="1:14" ht="17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t="s">
        <v>74</v>
      </c>
      <c r="G28">
        <v>1480</v>
      </c>
      <c r="H28" t="s">
        <v>21</v>
      </c>
      <c r="I28" t="s">
        <v>22</v>
      </c>
      <c r="J28">
        <v>1533013200</v>
      </c>
      <c r="K28">
        <v>1535346000</v>
      </c>
      <c r="L28" t="b">
        <v>0</v>
      </c>
      <c r="M28" t="b">
        <v>0</v>
      </c>
      <c r="N28" t="s">
        <v>33</v>
      </c>
    </row>
    <row r="29" spans="1:14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 t="s">
        <v>14</v>
      </c>
      <c r="G29">
        <v>15</v>
      </c>
      <c r="H29" t="s">
        <v>21</v>
      </c>
      <c r="I29" t="s">
        <v>22</v>
      </c>
      <c r="J29">
        <v>1443848400</v>
      </c>
      <c r="K29">
        <v>1444539600</v>
      </c>
      <c r="L29" t="b">
        <v>0</v>
      </c>
      <c r="M29" t="b">
        <v>0</v>
      </c>
      <c r="N29" t="s">
        <v>23</v>
      </c>
    </row>
    <row r="30" spans="1:14" ht="17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t="s">
        <v>20</v>
      </c>
      <c r="G30">
        <v>2220</v>
      </c>
      <c r="H30" t="s">
        <v>21</v>
      </c>
      <c r="I30" t="s">
        <v>22</v>
      </c>
      <c r="J30">
        <v>1265695200</v>
      </c>
      <c r="K30">
        <v>1267682400</v>
      </c>
      <c r="L30" t="b">
        <v>0</v>
      </c>
      <c r="M30" t="b">
        <v>1</v>
      </c>
      <c r="N30" t="s">
        <v>33</v>
      </c>
    </row>
    <row r="31" spans="1:14" ht="17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t="s">
        <v>20</v>
      </c>
      <c r="G31">
        <v>1606</v>
      </c>
      <c r="H31" t="s">
        <v>98</v>
      </c>
      <c r="I31" t="s">
        <v>99</v>
      </c>
      <c r="J31">
        <v>1532062800</v>
      </c>
      <c r="K31">
        <v>1535518800</v>
      </c>
      <c r="L31" t="b">
        <v>0</v>
      </c>
      <c r="M31" t="b">
        <v>0</v>
      </c>
      <c r="N31" t="s">
        <v>100</v>
      </c>
    </row>
    <row r="32" spans="1:14" ht="17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t="s">
        <v>20</v>
      </c>
      <c r="G32">
        <v>129</v>
      </c>
      <c r="H32" t="s">
        <v>21</v>
      </c>
      <c r="I32" t="s">
        <v>22</v>
      </c>
      <c r="J32">
        <v>1558674000</v>
      </c>
      <c r="K32">
        <v>1559106000</v>
      </c>
      <c r="L32" t="b">
        <v>0</v>
      </c>
      <c r="M32" t="b">
        <v>0</v>
      </c>
      <c r="N32" t="s">
        <v>71</v>
      </c>
    </row>
    <row r="33" spans="1:14" ht="17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t="s">
        <v>20</v>
      </c>
      <c r="G33">
        <v>226</v>
      </c>
      <c r="H33" t="s">
        <v>40</v>
      </c>
      <c r="I33" t="s">
        <v>41</v>
      </c>
      <c r="J33">
        <v>1451973600</v>
      </c>
      <c r="K33">
        <v>1454392800</v>
      </c>
      <c r="L33" t="b">
        <v>0</v>
      </c>
      <c r="M33" t="b">
        <v>0</v>
      </c>
      <c r="N33" t="s">
        <v>89</v>
      </c>
    </row>
    <row r="34" spans="1:14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t="s">
        <v>14</v>
      </c>
      <c r="G34">
        <v>2307</v>
      </c>
      <c r="H34" t="s">
        <v>107</v>
      </c>
      <c r="I34" t="s">
        <v>108</v>
      </c>
      <c r="J34">
        <v>1515564000</v>
      </c>
      <c r="K34">
        <v>1517896800</v>
      </c>
      <c r="L34" t="b">
        <v>0</v>
      </c>
      <c r="M34" t="b">
        <v>0</v>
      </c>
      <c r="N34" t="s">
        <v>42</v>
      </c>
    </row>
    <row r="35" spans="1:14" ht="17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t="s">
        <v>20</v>
      </c>
      <c r="G35">
        <v>5419</v>
      </c>
      <c r="H35" t="s">
        <v>21</v>
      </c>
      <c r="I35" t="s">
        <v>22</v>
      </c>
      <c r="J35">
        <v>1412485200</v>
      </c>
      <c r="K35">
        <v>1415685600</v>
      </c>
      <c r="L35" t="b">
        <v>0</v>
      </c>
      <c r="M35" t="b">
        <v>0</v>
      </c>
      <c r="N35" t="s">
        <v>33</v>
      </c>
    </row>
    <row r="36" spans="1:14" ht="34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t="s">
        <v>20</v>
      </c>
      <c r="G36">
        <v>165</v>
      </c>
      <c r="H36" t="s">
        <v>21</v>
      </c>
      <c r="I36" t="s">
        <v>22</v>
      </c>
      <c r="J36">
        <v>1490245200</v>
      </c>
      <c r="K36">
        <v>1490677200</v>
      </c>
      <c r="L36" t="b">
        <v>0</v>
      </c>
      <c r="M36" t="b">
        <v>0</v>
      </c>
      <c r="N36" t="s">
        <v>42</v>
      </c>
    </row>
    <row r="37" spans="1:14" ht="17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t="s">
        <v>20</v>
      </c>
      <c r="G37">
        <v>1965</v>
      </c>
      <c r="H37" t="s">
        <v>36</v>
      </c>
      <c r="I37" t="s">
        <v>37</v>
      </c>
      <c r="J37">
        <v>1547877600</v>
      </c>
      <c r="K37">
        <v>1551506400</v>
      </c>
      <c r="L37" t="b">
        <v>0</v>
      </c>
      <c r="M37" t="b">
        <v>1</v>
      </c>
      <c r="N37" t="s">
        <v>53</v>
      </c>
    </row>
    <row r="38" spans="1:14" ht="17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 t="s">
        <v>20</v>
      </c>
      <c r="G38">
        <v>16</v>
      </c>
      <c r="H38" t="s">
        <v>21</v>
      </c>
      <c r="I38" t="s">
        <v>22</v>
      </c>
      <c r="J38">
        <v>1298700000</v>
      </c>
      <c r="K38">
        <v>1300856400</v>
      </c>
      <c r="L38" t="b">
        <v>0</v>
      </c>
      <c r="M38" t="b">
        <v>0</v>
      </c>
      <c r="N38" t="s">
        <v>33</v>
      </c>
    </row>
    <row r="39" spans="1:14" ht="34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t="s">
        <v>20</v>
      </c>
      <c r="G39">
        <v>107</v>
      </c>
      <c r="H39" t="s">
        <v>21</v>
      </c>
      <c r="I39" t="s">
        <v>22</v>
      </c>
      <c r="J39">
        <v>1570338000</v>
      </c>
      <c r="K39">
        <v>1573192800</v>
      </c>
      <c r="L39" t="b">
        <v>0</v>
      </c>
      <c r="M39" t="b">
        <v>1</v>
      </c>
      <c r="N39" t="s">
        <v>119</v>
      </c>
    </row>
    <row r="40" spans="1:14" ht="17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t="s">
        <v>20</v>
      </c>
      <c r="G40">
        <v>134</v>
      </c>
      <c r="H40" t="s">
        <v>21</v>
      </c>
      <c r="I40" t="s">
        <v>22</v>
      </c>
      <c r="J40">
        <v>1287378000</v>
      </c>
      <c r="K40">
        <v>1287810000</v>
      </c>
      <c r="L40" t="b">
        <v>0</v>
      </c>
      <c r="M40" t="b">
        <v>0</v>
      </c>
      <c r="N40" t="s">
        <v>122</v>
      </c>
    </row>
    <row r="41" spans="1:14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 t="s">
        <v>14</v>
      </c>
      <c r="G41">
        <v>88</v>
      </c>
      <c r="H41" t="s">
        <v>36</v>
      </c>
      <c r="I41" t="s">
        <v>37</v>
      </c>
      <c r="J41">
        <v>1361772000</v>
      </c>
      <c r="K41">
        <v>1362978000</v>
      </c>
      <c r="L41" t="b">
        <v>0</v>
      </c>
      <c r="M41" t="b">
        <v>0</v>
      </c>
      <c r="N41" t="s">
        <v>33</v>
      </c>
    </row>
    <row r="42" spans="1:14" ht="17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t="s">
        <v>20</v>
      </c>
      <c r="G42">
        <v>198</v>
      </c>
      <c r="H42" t="s">
        <v>21</v>
      </c>
      <c r="I42" t="s">
        <v>22</v>
      </c>
      <c r="J42">
        <v>1275714000</v>
      </c>
      <c r="K42">
        <v>1277355600</v>
      </c>
      <c r="L42" t="b">
        <v>0</v>
      </c>
      <c r="M42" t="b">
        <v>1</v>
      </c>
      <c r="N42" t="s">
        <v>65</v>
      </c>
    </row>
    <row r="43" spans="1:14" ht="17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t="s">
        <v>20</v>
      </c>
      <c r="G43">
        <v>111</v>
      </c>
      <c r="H43" t="s">
        <v>107</v>
      </c>
      <c r="I43" t="s">
        <v>108</v>
      </c>
      <c r="J43">
        <v>1346734800</v>
      </c>
      <c r="K43">
        <v>1348981200</v>
      </c>
      <c r="L43" t="b">
        <v>0</v>
      </c>
      <c r="M43" t="b">
        <v>1</v>
      </c>
      <c r="N43" t="s">
        <v>23</v>
      </c>
    </row>
    <row r="44" spans="1:14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 t="s">
        <v>20</v>
      </c>
      <c r="G44">
        <v>222</v>
      </c>
      <c r="H44" t="s">
        <v>21</v>
      </c>
      <c r="I44" t="s">
        <v>22</v>
      </c>
      <c r="J44">
        <v>1309755600</v>
      </c>
      <c r="K44">
        <v>1310533200</v>
      </c>
      <c r="L44" t="b">
        <v>0</v>
      </c>
      <c r="M44" t="b">
        <v>0</v>
      </c>
      <c r="N44" t="s">
        <v>17</v>
      </c>
    </row>
    <row r="45" spans="1:14" ht="17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t="s">
        <v>20</v>
      </c>
      <c r="G45">
        <v>6212</v>
      </c>
      <c r="H45" t="s">
        <v>21</v>
      </c>
      <c r="I45" t="s">
        <v>22</v>
      </c>
      <c r="J45">
        <v>1406178000</v>
      </c>
      <c r="K45">
        <v>1407560400</v>
      </c>
      <c r="L45" t="b">
        <v>0</v>
      </c>
      <c r="M45" t="b">
        <v>0</v>
      </c>
      <c r="N45" t="s">
        <v>133</v>
      </c>
    </row>
    <row r="46" spans="1:14" ht="17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t="s">
        <v>20</v>
      </c>
      <c r="G46">
        <v>98</v>
      </c>
      <c r="H46" t="s">
        <v>36</v>
      </c>
      <c r="I46" t="s">
        <v>37</v>
      </c>
      <c r="J46">
        <v>1552798800</v>
      </c>
      <c r="K46">
        <v>1552885200</v>
      </c>
      <c r="L46" t="b">
        <v>0</v>
      </c>
      <c r="M46" t="b">
        <v>0</v>
      </c>
      <c r="N46" t="s">
        <v>119</v>
      </c>
    </row>
    <row r="47" spans="1:14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 t="s">
        <v>14</v>
      </c>
      <c r="G47">
        <v>48</v>
      </c>
      <c r="H47" t="s">
        <v>21</v>
      </c>
      <c r="I47" t="s">
        <v>22</v>
      </c>
      <c r="J47">
        <v>1478062800</v>
      </c>
      <c r="K47">
        <v>1479362400</v>
      </c>
      <c r="L47" t="b">
        <v>0</v>
      </c>
      <c r="M47" t="b">
        <v>1</v>
      </c>
      <c r="N47" t="s">
        <v>33</v>
      </c>
    </row>
    <row r="48" spans="1:14" ht="17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 t="s">
        <v>20</v>
      </c>
      <c r="G48">
        <v>92</v>
      </c>
      <c r="H48" t="s">
        <v>21</v>
      </c>
      <c r="I48" t="s">
        <v>22</v>
      </c>
      <c r="J48">
        <v>1278565200</v>
      </c>
      <c r="K48">
        <v>1280552400</v>
      </c>
      <c r="L48" t="b">
        <v>0</v>
      </c>
      <c r="M48" t="b">
        <v>0</v>
      </c>
      <c r="N48" t="s">
        <v>23</v>
      </c>
    </row>
    <row r="49" spans="1:14" ht="17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 t="s">
        <v>20</v>
      </c>
      <c r="G49">
        <v>149</v>
      </c>
      <c r="H49" t="s">
        <v>21</v>
      </c>
      <c r="I49" t="s">
        <v>22</v>
      </c>
      <c r="J49">
        <v>1396069200</v>
      </c>
      <c r="K49">
        <v>1398661200</v>
      </c>
      <c r="L49" t="b">
        <v>0</v>
      </c>
      <c r="M49" t="b">
        <v>0</v>
      </c>
      <c r="N49" t="s">
        <v>33</v>
      </c>
    </row>
    <row r="50" spans="1:14" ht="17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t="s">
        <v>20</v>
      </c>
      <c r="G50">
        <v>2431</v>
      </c>
      <c r="H50" t="s">
        <v>21</v>
      </c>
      <c r="I50" t="s">
        <v>22</v>
      </c>
      <c r="J50">
        <v>1435208400</v>
      </c>
      <c r="K50">
        <v>1436245200</v>
      </c>
      <c r="L50" t="b">
        <v>0</v>
      </c>
      <c r="M50" t="b">
        <v>0</v>
      </c>
      <c r="N50" t="s">
        <v>33</v>
      </c>
    </row>
    <row r="51" spans="1:14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t="s">
        <v>20</v>
      </c>
      <c r="G51">
        <v>303</v>
      </c>
      <c r="H51" t="s">
        <v>21</v>
      </c>
      <c r="I51" t="s">
        <v>22</v>
      </c>
      <c r="J51">
        <v>1571547600</v>
      </c>
      <c r="K51">
        <v>1575439200</v>
      </c>
      <c r="L51" t="b">
        <v>0</v>
      </c>
      <c r="M51" t="b">
        <v>0</v>
      </c>
      <c r="N51" t="s">
        <v>23</v>
      </c>
    </row>
    <row r="52" spans="1:14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 t="s">
        <v>14</v>
      </c>
      <c r="G52">
        <v>1</v>
      </c>
      <c r="H52" t="s">
        <v>107</v>
      </c>
      <c r="I52" t="s">
        <v>108</v>
      </c>
      <c r="J52">
        <v>1375333200</v>
      </c>
      <c r="K52">
        <v>1377752400</v>
      </c>
      <c r="L52" t="b">
        <v>0</v>
      </c>
      <c r="M52" t="b">
        <v>0</v>
      </c>
      <c r="N52" t="s">
        <v>148</v>
      </c>
    </row>
    <row r="53" spans="1:14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t="s">
        <v>14</v>
      </c>
      <c r="G53">
        <v>1467</v>
      </c>
      <c r="H53" t="s">
        <v>40</v>
      </c>
      <c r="I53" t="s">
        <v>41</v>
      </c>
      <c r="J53">
        <v>1332824400</v>
      </c>
      <c r="K53">
        <v>1334206800</v>
      </c>
      <c r="L53" t="b">
        <v>0</v>
      </c>
      <c r="M53" t="b">
        <v>1</v>
      </c>
      <c r="N53" t="s">
        <v>65</v>
      </c>
    </row>
    <row r="54" spans="1:14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 t="s">
        <v>14</v>
      </c>
      <c r="G54">
        <v>75</v>
      </c>
      <c r="H54" t="s">
        <v>21</v>
      </c>
      <c r="I54" t="s">
        <v>22</v>
      </c>
      <c r="J54">
        <v>1284526800</v>
      </c>
      <c r="K54">
        <v>1284872400</v>
      </c>
      <c r="L54" t="b">
        <v>0</v>
      </c>
      <c r="M54" t="b">
        <v>0</v>
      </c>
      <c r="N54" t="s">
        <v>33</v>
      </c>
    </row>
    <row r="55" spans="1:14" ht="17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t="s">
        <v>20</v>
      </c>
      <c r="G55">
        <v>209</v>
      </c>
      <c r="H55" t="s">
        <v>21</v>
      </c>
      <c r="I55" t="s">
        <v>22</v>
      </c>
      <c r="J55">
        <v>1400562000</v>
      </c>
      <c r="K55">
        <v>1403931600</v>
      </c>
      <c r="L55" t="b">
        <v>0</v>
      </c>
      <c r="M55" t="b">
        <v>0</v>
      </c>
      <c r="N55" t="s">
        <v>53</v>
      </c>
    </row>
    <row r="56" spans="1:14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 t="s">
        <v>14</v>
      </c>
      <c r="G56">
        <v>120</v>
      </c>
      <c r="H56" t="s">
        <v>21</v>
      </c>
      <c r="I56" t="s">
        <v>22</v>
      </c>
      <c r="J56">
        <v>1520748000</v>
      </c>
      <c r="K56">
        <v>1521262800</v>
      </c>
      <c r="L56" t="b">
        <v>0</v>
      </c>
      <c r="M56" t="b">
        <v>0</v>
      </c>
      <c r="N56" t="s">
        <v>65</v>
      </c>
    </row>
    <row r="57" spans="1:14" ht="34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t="s">
        <v>20</v>
      </c>
      <c r="G57">
        <v>131</v>
      </c>
      <c r="H57" t="s">
        <v>21</v>
      </c>
      <c r="I57" t="s">
        <v>22</v>
      </c>
      <c r="J57">
        <v>1532926800</v>
      </c>
      <c r="K57">
        <v>1533358800</v>
      </c>
      <c r="L57" t="b">
        <v>0</v>
      </c>
      <c r="M57" t="b">
        <v>0</v>
      </c>
      <c r="N57" t="s">
        <v>159</v>
      </c>
    </row>
    <row r="58" spans="1:14" ht="34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t="s">
        <v>20</v>
      </c>
      <c r="G58">
        <v>164</v>
      </c>
      <c r="H58" t="s">
        <v>21</v>
      </c>
      <c r="I58" t="s">
        <v>22</v>
      </c>
      <c r="J58">
        <v>1420869600</v>
      </c>
      <c r="K58">
        <v>1421474400</v>
      </c>
      <c r="L58" t="b">
        <v>0</v>
      </c>
      <c r="M58" t="b">
        <v>0</v>
      </c>
      <c r="N58" t="s">
        <v>65</v>
      </c>
    </row>
    <row r="59" spans="1:14" ht="17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 t="s">
        <v>20</v>
      </c>
      <c r="G59">
        <v>201</v>
      </c>
      <c r="H59" t="s">
        <v>21</v>
      </c>
      <c r="I59" t="s">
        <v>22</v>
      </c>
      <c r="J59">
        <v>1504242000</v>
      </c>
      <c r="K59">
        <v>1505278800</v>
      </c>
      <c r="L59" t="b">
        <v>0</v>
      </c>
      <c r="M59" t="b">
        <v>0</v>
      </c>
      <c r="N59" t="s">
        <v>89</v>
      </c>
    </row>
    <row r="60" spans="1:14" ht="17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 t="s">
        <v>20</v>
      </c>
      <c r="G60">
        <v>211</v>
      </c>
      <c r="H60" t="s">
        <v>21</v>
      </c>
      <c r="I60" t="s">
        <v>22</v>
      </c>
      <c r="J60">
        <v>1442811600</v>
      </c>
      <c r="K60">
        <v>1443934800</v>
      </c>
      <c r="L60" t="b">
        <v>0</v>
      </c>
      <c r="M60" t="b">
        <v>0</v>
      </c>
      <c r="N60" t="s">
        <v>33</v>
      </c>
    </row>
    <row r="61" spans="1:14" ht="17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 t="s">
        <v>20</v>
      </c>
      <c r="G61">
        <v>128</v>
      </c>
      <c r="H61" t="s">
        <v>21</v>
      </c>
      <c r="I61" t="s">
        <v>22</v>
      </c>
      <c r="J61">
        <v>1497243600</v>
      </c>
      <c r="K61">
        <v>1498539600</v>
      </c>
      <c r="L61" t="b">
        <v>0</v>
      </c>
      <c r="M61" t="b">
        <v>1</v>
      </c>
      <c r="N61" t="s">
        <v>33</v>
      </c>
    </row>
    <row r="62" spans="1:14" ht="17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t="s">
        <v>20</v>
      </c>
      <c r="G62">
        <v>1600</v>
      </c>
      <c r="H62" t="s">
        <v>15</v>
      </c>
      <c r="I62" t="s">
        <v>16</v>
      </c>
      <c r="J62">
        <v>1342501200</v>
      </c>
      <c r="K62">
        <v>1342760400</v>
      </c>
      <c r="L62" t="b">
        <v>0</v>
      </c>
      <c r="M62" t="b">
        <v>0</v>
      </c>
      <c r="N62" t="s">
        <v>33</v>
      </c>
    </row>
    <row r="63" spans="1:14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>
        <v>1301720400</v>
      </c>
      <c r="L63" t="b">
        <v>0</v>
      </c>
      <c r="M63" t="b">
        <v>0</v>
      </c>
      <c r="N63" t="s">
        <v>33</v>
      </c>
    </row>
    <row r="64" spans="1:14" ht="34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t="s">
        <v>20</v>
      </c>
      <c r="G64">
        <v>249</v>
      </c>
      <c r="H64" t="s">
        <v>21</v>
      </c>
      <c r="I64" t="s">
        <v>22</v>
      </c>
      <c r="J64">
        <v>1433480400</v>
      </c>
      <c r="K64">
        <v>1433566800</v>
      </c>
      <c r="L64" t="b">
        <v>0</v>
      </c>
      <c r="M64" t="b">
        <v>0</v>
      </c>
      <c r="N64" t="s">
        <v>28</v>
      </c>
    </row>
    <row r="65" spans="1:14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 t="s">
        <v>14</v>
      </c>
      <c r="G65">
        <v>5</v>
      </c>
      <c r="H65" t="s">
        <v>21</v>
      </c>
      <c r="I65" t="s">
        <v>22</v>
      </c>
      <c r="J65">
        <v>1493355600</v>
      </c>
      <c r="K65">
        <v>1493874000</v>
      </c>
      <c r="L65" t="b">
        <v>0</v>
      </c>
      <c r="M65" t="b">
        <v>0</v>
      </c>
      <c r="N65" t="s">
        <v>33</v>
      </c>
    </row>
    <row r="66" spans="1:14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 t="s">
        <v>14</v>
      </c>
      <c r="G66">
        <v>38</v>
      </c>
      <c r="H66" t="s">
        <v>21</v>
      </c>
      <c r="I66" t="s">
        <v>22</v>
      </c>
      <c r="J66">
        <v>1530507600</v>
      </c>
      <c r="K66">
        <v>1531803600</v>
      </c>
      <c r="L66" t="b">
        <v>0</v>
      </c>
      <c r="M66" t="b">
        <v>1</v>
      </c>
      <c r="N66" t="s">
        <v>28</v>
      </c>
    </row>
    <row r="67" spans="1:14" ht="17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t="s">
        <v>20</v>
      </c>
      <c r="G67">
        <v>236</v>
      </c>
      <c r="H67" t="s">
        <v>21</v>
      </c>
      <c r="I67" t="s">
        <v>22</v>
      </c>
      <c r="J67">
        <v>1296108000</v>
      </c>
      <c r="K67">
        <v>1296712800</v>
      </c>
      <c r="L67" t="b">
        <v>0</v>
      </c>
      <c r="M67" t="b">
        <v>0</v>
      </c>
      <c r="N67" t="s">
        <v>33</v>
      </c>
    </row>
    <row r="68" spans="1:14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 t="s">
        <v>14</v>
      </c>
      <c r="G68">
        <v>12</v>
      </c>
      <c r="H68" t="s">
        <v>21</v>
      </c>
      <c r="I68" t="s">
        <v>22</v>
      </c>
      <c r="J68">
        <v>1428469200</v>
      </c>
      <c r="K68">
        <v>1428901200</v>
      </c>
      <c r="L68" t="b">
        <v>0</v>
      </c>
      <c r="M68" t="b">
        <v>1</v>
      </c>
      <c r="N68" t="s">
        <v>33</v>
      </c>
    </row>
    <row r="69" spans="1:14" ht="34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t="s">
        <v>20</v>
      </c>
      <c r="G69">
        <v>4065</v>
      </c>
      <c r="H69" t="s">
        <v>40</v>
      </c>
      <c r="I69" t="s">
        <v>41</v>
      </c>
      <c r="J69">
        <v>1264399200</v>
      </c>
      <c r="K69">
        <v>1264831200</v>
      </c>
      <c r="L69" t="b">
        <v>0</v>
      </c>
      <c r="M69" t="b">
        <v>1</v>
      </c>
      <c r="N69" t="s">
        <v>65</v>
      </c>
    </row>
    <row r="70" spans="1:14" ht="17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t="s">
        <v>20</v>
      </c>
      <c r="G70">
        <v>246</v>
      </c>
      <c r="H70" t="s">
        <v>107</v>
      </c>
      <c r="I70" t="s">
        <v>108</v>
      </c>
      <c r="J70">
        <v>1501131600</v>
      </c>
      <c r="K70">
        <v>1505192400</v>
      </c>
      <c r="L70" t="b">
        <v>0</v>
      </c>
      <c r="M70" t="b">
        <v>1</v>
      </c>
      <c r="N70" t="s">
        <v>33</v>
      </c>
    </row>
    <row r="71" spans="1:14" ht="17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 t="s">
        <v>74</v>
      </c>
      <c r="G71">
        <v>17</v>
      </c>
      <c r="H71" t="s">
        <v>21</v>
      </c>
      <c r="I71" t="s">
        <v>22</v>
      </c>
      <c r="J71">
        <v>1292738400</v>
      </c>
      <c r="K71">
        <v>1295676000</v>
      </c>
      <c r="L71" t="b">
        <v>0</v>
      </c>
      <c r="M71" t="b">
        <v>0</v>
      </c>
      <c r="N71" t="s">
        <v>33</v>
      </c>
    </row>
    <row r="72" spans="1:14" ht="17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t="s">
        <v>20</v>
      </c>
      <c r="G72">
        <v>2475</v>
      </c>
      <c r="H72" t="s">
        <v>107</v>
      </c>
      <c r="I72" t="s">
        <v>108</v>
      </c>
      <c r="J72">
        <v>1288674000</v>
      </c>
      <c r="K72">
        <v>1292911200</v>
      </c>
      <c r="L72" t="b">
        <v>0</v>
      </c>
      <c r="M72" t="b">
        <v>1</v>
      </c>
      <c r="N72" t="s">
        <v>33</v>
      </c>
    </row>
    <row r="73" spans="1:14" ht="34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 t="s">
        <v>20</v>
      </c>
      <c r="G73">
        <v>76</v>
      </c>
      <c r="H73" t="s">
        <v>21</v>
      </c>
      <c r="I73" t="s">
        <v>22</v>
      </c>
      <c r="J73">
        <v>1575093600</v>
      </c>
      <c r="K73">
        <v>1575439200</v>
      </c>
      <c r="L73" t="b">
        <v>0</v>
      </c>
      <c r="M73" t="b">
        <v>0</v>
      </c>
      <c r="N73" t="s">
        <v>33</v>
      </c>
    </row>
    <row r="74" spans="1:14" ht="17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 t="s">
        <v>20</v>
      </c>
      <c r="G74">
        <v>54</v>
      </c>
      <c r="H74" t="s">
        <v>21</v>
      </c>
      <c r="I74" t="s">
        <v>22</v>
      </c>
      <c r="J74">
        <v>1435726800</v>
      </c>
      <c r="K74">
        <v>1438837200</v>
      </c>
      <c r="L74" t="b">
        <v>0</v>
      </c>
      <c r="M74" t="b">
        <v>0</v>
      </c>
      <c r="N74" t="s">
        <v>71</v>
      </c>
    </row>
    <row r="75" spans="1:14" ht="17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 t="s">
        <v>20</v>
      </c>
      <c r="G75">
        <v>88</v>
      </c>
      <c r="H75" t="s">
        <v>21</v>
      </c>
      <c r="I75" t="s">
        <v>22</v>
      </c>
      <c r="J75">
        <v>1480226400</v>
      </c>
      <c r="K75">
        <v>1480485600</v>
      </c>
      <c r="L75" t="b">
        <v>0</v>
      </c>
      <c r="M75" t="b">
        <v>0</v>
      </c>
      <c r="N75" t="s">
        <v>159</v>
      </c>
    </row>
    <row r="76" spans="1:14" ht="17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 t="s">
        <v>20</v>
      </c>
      <c r="G76">
        <v>85</v>
      </c>
      <c r="H76" t="s">
        <v>40</v>
      </c>
      <c r="I76" t="s">
        <v>41</v>
      </c>
      <c r="J76">
        <v>1459054800</v>
      </c>
      <c r="K76">
        <v>1459141200</v>
      </c>
      <c r="L76" t="b">
        <v>0</v>
      </c>
      <c r="M76" t="b">
        <v>0</v>
      </c>
      <c r="N76" t="s">
        <v>148</v>
      </c>
    </row>
    <row r="77" spans="1:14" ht="17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t="s">
        <v>20</v>
      </c>
      <c r="G77">
        <v>170</v>
      </c>
      <c r="H77" t="s">
        <v>21</v>
      </c>
      <c r="I77" t="s">
        <v>22</v>
      </c>
      <c r="J77">
        <v>1531630800</v>
      </c>
      <c r="K77">
        <v>1532322000</v>
      </c>
      <c r="L77" t="b">
        <v>0</v>
      </c>
      <c r="M77" t="b">
        <v>0</v>
      </c>
      <c r="N77" t="s">
        <v>122</v>
      </c>
    </row>
    <row r="78" spans="1:14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t="s">
        <v>14</v>
      </c>
      <c r="G78">
        <v>1684</v>
      </c>
      <c r="H78" t="s">
        <v>21</v>
      </c>
      <c r="I78" t="s">
        <v>22</v>
      </c>
      <c r="J78">
        <v>1421992800</v>
      </c>
      <c r="K78">
        <v>1426222800</v>
      </c>
      <c r="L78" t="b">
        <v>1</v>
      </c>
      <c r="M78" t="b">
        <v>1</v>
      </c>
      <c r="N78" t="s">
        <v>33</v>
      </c>
    </row>
    <row r="79" spans="1:14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 t="s">
        <v>14</v>
      </c>
      <c r="G79">
        <v>56</v>
      </c>
      <c r="H79" t="s">
        <v>21</v>
      </c>
      <c r="I79" t="s">
        <v>22</v>
      </c>
      <c r="J79">
        <v>1285563600</v>
      </c>
      <c r="K79">
        <v>1286773200</v>
      </c>
      <c r="L79" t="b">
        <v>0</v>
      </c>
      <c r="M79" t="b">
        <v>1</v>
      </c>
      <c r="N79" t="s">
        <v>71</v>
      </c>
    </row>
    <row r="80" spans="1:14" ht="34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t="s">
        <v>20</v>
      </c>
      <c r="G80">
        <v>330</v>
      </c>
      <c r="H80" t="s">
        <v>21</v>
      </c>
      <c r="I80" t="s">
        <v>22</v>
      </c>
      <c r="J80">
        <v>1523854800</v>
      </c>
      <c r="K80">
        <v>1523941200</v>
      </c>
      <c r="L80" t="b">
        <v>0</v>
      </c>
      <c r="M80" t="b">
        <v>0</v>
      </c>
      <c r="N80" t="s">
        <v>206</v>
      </c>
    </row>
    <row r="81" spans="1:14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t="s">
        <v>14</v>
      </c>
      <c r="G81">
        <v>838</v>
      </c>
      <c r="H81" t="s">
        <v>21</v>
      </c>
      <c r="I81" t="s">
        <v>22</v>
      </c>
      <c r="J81">
        <v>1529125200</v>
      </c>
      <c r="K81">
        <v>1529557200</v>
      </c>
      <c r="L81" t="b">
        <v>0</v>
      </c>
      <c r="M81" t="b">
        <v>0</v>
      </c>
      <c r="N81" t="s">
        <v>33</v>
      </c>
    </row>
    <row r="82" spans="1:14" ht="17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 t="s">
        <v>20</v>
      </c>
      <c r="G82">
        <v>127</v>
      </c>
      <c r="H82" t="s">
        <v>21</v>
      </c>
      <c r="I82" t="s">
        <v>22</v>
      </c>
      <c r="J82">
        <v>1503982800</v>
      </c>
      <c r="K82">
        <v>1506574800</v>
      </c>
      <c r="L82" t="b">
        <v>0</v>
      </c>
      <c r="M82" t="b">
        <v>0</v>
      </c>
      <c r="N82" t="s">
        <v>89</v>
      </c>
    </row>
    <row r="83" spans="1:14" ht="17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t="s">
        <v>20</v>
      </c>
      <c r="G83">
        <v>411</v>
      </c>
      <c r="H83" t="s">
        <v>21</v>
      </c>
      <c r="I83" t="s">
        <v>22</v>
      </c>
      <c r="J83">
        <v>1511416800</v>
      </c>
      <c r="K83">
        <v>1513576800</v>
      </c>
      <c r="L83" t="b">
        <v>0</v>
      </c>
      <c r="M83" t="b">
        <v>0</v>
      </c>
      <c r="N83" t="s">
        <v>23</v>
      </c>
    </row>
    <row r="84" spans="1:14" ht="17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t="s">
        <v>20</v>
      </c>
      <c r="G84">
        <v>180</v>
      </c>
      <c r="H84" t="s">
        <v>40</v>
      </c>
      <c r="I84" t="s">
        <v>41</v>
      </c>
      <c r="J84">
        <v>1547704800</v>
      </c>
      <c r="K84">
        <v>1548309600</v>
      </c>
      <c r="L84" t="b">
        <v>0</v>
      </c>
      <c r="M84" t="b">
        <v>1</v>
      </c>
      <c r="N84" t="s">
        <v>89</v>
      </c>
    </row>
    <row r="85" spans="1:14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t="s">
        <v>14</v>
      </c>
      <c r="G85">
        <v>1000</v>
      </c>
      <c r="H85" t="s">
        <v>21</v>
      </c>
      <c r="I85" t="s">
        <v>22</v>
      </c>
      <c r="J85">
        <v>1469682000</v>
      </c>
      <c r="K85">
        <v>1471582800</v>
      </c>
      <c r="L85" t="b">
        <v>0</v>
      </c>
      <c r="M85" t="b">
        <v>0</v>
      </c>
      <c r="N85" t="s">
        <v>50</v>
      </c>
    </row>
    <row r="86" spans="1:14" ht="17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t="s">
        <v>20</v>
      </c>
      <c r="G86">
        <v>374</v>
      </c>
      <c r="H86" t="s">
        <v>21</v>
      </c>
      <c r="I86" t="s">
        <v>22</v>
      </c>
      <c r="J86">
        <v>1343451600</v>
      </c>
      <c r="K86">
        <v>1344315600</v>
      </c>
      <c r="L86" t="b">
        <v>0</v>
      </c>
      <c r="M86" t="b">
        <v>0</v>
      </c>
      <c r="N86" t="s">
        <v>65</v>
      </c>
    </row>
    <row r="87" spans="1:14" ht="17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 t="s">
        <v>20</v>
      </c>
      <c r="G87">
        <v>71</v>
      </c>
      <c r="H87" t="s">
        <v>26</v>
      </c>
      <c r="I87" t="s">
        <v>27</v>
      </c>
      <c r="J87">
        <v>1315717200</v>
      </c>
      <c r="K87">
        <v>1316408400</v>
      </c>
      <c r="L87" t="b">
        <v>0</v>
      </c>
      <c r="M87" t="b">
        <v>0</v>
      </c>
      <c r="N87" t="s">
        <v>60</v>
      </c>
    </row>
    <row r="88" spans="1:14" ht="17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t="s">
        <v>20</v>
      </c>
      <c r="G88">
        <v>203</v>
      </c>
      <c r="H88" t="s">
        <v>21</v>
      </c>
      <c r="I88" t="s">
        <v>22</v>
      </c>
      <c r="J88">
        <v>1430715600</v>
      </c>
      <c r="K88">
        <v>1431838800</v>
      </c>
      <c r="L88" t="b">
        <v>1</v>
      </c>
      <c r="M88" t="b">
        <v>0</v>
      </c>
      <c r="N88" t="s">
        <v>33</v>
      </c>
    </row>
    <row r="89" spans="1:14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t="s">
        <v>14</v>
      </c>
      <c r="G89">
        <v>1482</v>
      </c>
      <c r="H89" t="s">
        <v>26</v>
      </c>
      <c r="I89" t="s">
        <v>27</v>
      </c>
      <c r="J89">
        <v>1299564000</v>
      </c>
      <c r="K89">
        <v>1300510800</v>
      </c>
      <c r="L89" t="b">
        <v>0</v>
      </c>
      <c r="M89" t="b">
        <v>1</v>
      </c>
      <c r="N89" t="s">
        <v>23</v>
      </c>
    </row>
    <row r="90" spans="1:14" ht="17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t="s">
        <v>20</v>
      </c>
      <c r="G90">
        <v>113</v>
      </c>
      <c r="H90" t="s">
        <v>21</v>
      </c>
      <c r="I90" t="s">
        <v>22</v>
      </c>
      <c r="J90">
        <v>1429160400</v>
      </c>
      <c r="K90">
        <v>1431061200</v>
      </c>
      <c r="L90" t="b">
        <v>0</v>
      </c>
      <c r="M90" t="b">
        <v>0</v>
      </c>
      <c r="N90" t="s">
        <v>206</v>
      </c>
    </row>
    <row r="91" spans="1:14" ht="17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 t="s">
        <v>20</v>
      </c>
      <c r="G91">
        <v>96</v>
      </c>
      <c r="H91" t="s">
        <v>21</v>
      </c>
      <c r="I91" t="s">
        <v>22</v>
      </c>
      <c r="J91">
        <v>1271307600</v>
      </c>
      <c r="K91">
        <v>1271480400</v>
      </c>
      <c r="L91" t="b">
        <v>0</v>
      </c>
      <c r="M91" t="b">
        <v>0</v>
      </c>
      <c r="N91" t="s">
        <v>33</v>
      </c>
    </row>
    <row r="92" spans="1:14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 t="s">
        <v>14</v>
      </c>
      <c r="G92">
        <v>106</v>
      </c>
      <c r="H92" t="s">
        <v>21</v>
      </c>
      <c r="I92" t="s">
        <v>22</v>
      </c>
      <c r="J92">
        <v>1456380000</v>
      </c>
      <c r="K92">
        <v>1456380000</v>
      </c>
      <c r="L92" t="b">
        <v>0</v>
      </c>
      <c r="M92" t="b">
        <v>1</v>
      </c>
      <c r="N92" t="s">
        <v>33</v>
      </c>
    </row>
    <row r="93" spans="1:14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t="s">
        <v>14</v>
      </c>
      <c r="G93">
        <v>679</v>
      </c>
      <c r="H93" t="s">
        <v>107</v>
      </c>
      <c r="I93" t="s">
        <v>108</v>
      </c>
      <c r="J93">
        <v>1470459600</v>
      </c>
      <c r="K93">
        <v>1472878800</v>
      </c>
      <c r="L93" t="b">
        <v>0</v>
      </c>
      <c r="M93" t="b">
        <v>0</v>
      </c>
      <c r="N93" t="s">
        <v>206</v>
      </c>
    </row>
    <row r="94" spans="1:14" ht="34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t="s">
        <v>20</v>
      </c>
      <c r="G94">
        <v>498</v>
      </c>
      <c r="H94" t="s">
        <v>98</v>
      </c>
      <c r="I94" t="s">
        <v>99</v>
      </c>
      <c r="J94">
        <v>1277269200</v>
      </c>
      <c r="K94">
        <v>1277355600</v>
      </c>
      <c r="L94" t="b">
        <v>0</v>
      </c>
      <c r="M94" t="b">
        <v>1</v>
      </c>
      <c r="N94" t="s">
        <v>89</v>
      </c>
    </row>
    <row r="95" spans="1:14" ht="17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t="s">
        <v>74</v>
      </c>
      <c r="G95">
        <v>610</v>
      </c>
      <c r="H95" t="s">
        <v>21</v>
      </c>
      <c r="I95" t="s">
        <v>22</v>
      </c>
      <c r="J95">
        <v>1350709200</v>
      </c>
      <c r="K95">
        <v>1351054800</v>
      </c>
      <c r="L95" t="b">
        <v>0</v>
      </c>
      <c r="M95" t="b">
        <v>1</v>
      </c>
      <c r="N95" t="s">
        <v>33</v>
      </c>
    </row>
    <row r="96" spans="1:14" ht="17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 t="s">
        <v>20</v>
      </c>
      <c r="G96">
        <v>180</v>
      </c>
      <c r="H96" t="s">
        <v>40</v>
      </c>
      <c r="I96" t="s">
        <v>41</v>
      </c>
      <c r="J96">
        <v>1554613200</v>
      </c>
      <c r="K96">
        <v>1555563600</v>
      </c>
      <c r="L96" t="b">
        <v>0</v>
      </c>
      <c r="M96" t="b">
        <v>0</v>
      </c>
      <c r="N96" t="s">
        <v>28</v>
      </c>
    </row>
    <row r="97" spans="1:14" ht="34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 t="s">
        <v>20</v>
      </c>
      <c r="G97">
        <v>27</v>
      </c>
      <c r="H97" t="s">
        <v>21</v>
      </c>
      <c r="I97" t="s">
        <v>22</v>
      </c>
      <c r="J97">
        <v>1571029200</v>
      </c>
      <c r="K97">
        <v>1571634000</v>
      </c>
      <c r="L97" t="b">
        <v>0</v>
      </c>
      <c r="M97" t="b">
        <v>0</v>
      </c>
      <c r="N97" t="s">
        <v>42</v>
      </c>
    </row>
    <row r="98" spans="1:14" ht="17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t="s">
        <v>20</v>
      </c>
      <c r="G98">
        <v>2331</v>
      </c>
      <c r="H98" t="s">
        <v>21</v>
      </c>
      <c r="I98" t="s">
        <v>22</v>
      </c>
      <c r="J98">
        <v>1299736800</v>
      </c>
      <c r="K98">
        <v>1300856400</v>
      </c>
      <c r="L98" t="b">
        <v>0</v>
      </c>
      <c r="M98" t="b">
        <v>0</v>
      </c>
      <c r="N98" t="s">
        <v>33</v>
      </c>
    </row>
    <row r="99" spans="1:14" ht="17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t="s">
        <v>20</v>
      </c>
      <c r="G99">
        <v>113</v>
      </c>
      <c r="H99" t="s">
        <v>21</v>
      </c>
      <c r="I99" t="s">
        <v>22</v>
      </c>
      <c r="J99">
        <v>1435208400</v>
      </c>
      <c r="K99">
        <v>1439874000</v>
      </c>
      <c r="L99" t="b">
        <v>0</v>
      </c>
      <c r="M99" t="b">
        <v>0</v>
      </c>
      <c r="N99" t="s">
        <v>17</v>
      </c>
    </row>
    <row r="100" spans="1:14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t="s">
        <v>14</v>
      </c>
      <c r="G100">
        <v>1220</v>
      </c>
      <c r="H100" t="s">
        <v>26</v>
      </c>
      <c r="I100" t="s">
        <v>27</v>
      </c>
      <c r="J100">
        <v>1437973200</v>
      </c>
      <c r="K100">
        <v>1438318800</v>
      </c>
      <c r="L100" t="b">
        <v>0</v>
      </c>
      <c r="M100" t="b">
        <v>0</v>
      </c>
      <c r="N100" t="s">
        <v>89</v>
      </c>
    </row>
    <row r="101" spans="1:14" ht="34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t="s">
        <v>20</v>
      </c>
      <c r="G101">
        <v>164</v>
      </c>
      <c r="H101" t="s">
        <v>21</v>
      </c>
      <c r="I101" t="s">
        <v>22</v>
      </c>
      <c r="J101">
        <v>1416895200</v>
      </c>
      <c r="K101">
        <v>1419400800</v>
      </c>
      <c r="L101" t="b">
        <v>0</v>
      </c>
      <c r="M101" t="b">
        <v>0</v>
      </c>
      <c r="N101" t="s">
        <v>33</v>
      </c>
    </row>
    <row r="102" spans="1:14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t="s">
        <v>14</v>
      </c>
      <c r="G102">
        <v>1</v>
      </c>
      <c r="H102" t="s">
        <v>21</v>
      </c>
      <c r="I102" t="s">
        <v>22</v>
      </c>
      <c r="J102">
        <v>1319000400</v>
      </c>
      <c r="K102">
        <v>1320555600</v>
      </c>
      <c r="L102" t="b">
        <v>0</v>
      </c>
      <c r="M102" t="b">
        <v>0</v>
      </c>
      <c r="N102" t="s">
        <v>33</v>
      </c>
    </row>
    <row r="103" spans="1:14" ht="17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t="s">
        <v>20</v>
      </c>
      <c r="G103">
        <v>164</v>
      </c>
      <c r="H103" t="s">
        <v>21</v>
      </c>
      <c r="I103" t="s">
        <v>22</v>
      </c>
      <c r="J103">
        <v>1424498400</v>
      </c>
      <c r="K103">
        <v>1425103200</v>
      </c>
      <c r="L103" t="b">
        <v>0</v>
      </c>
      <c r="M103" t="b">
        <v>1</v>
      </c>
      <c r="N103" t="s">
        <v>50</v>
      </c>
    </row>
    <row r="104" spans="1:14" ht="17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t="s">
        <v>20</v>
      </c>
      <c r="G104">
        <v>336</v>
      </c>
      <c r="H104" t="s">
        <v>21</v>
      </c>
      <c r="I104" t="s">
        <v>22</v>
      </c>
      <c r="J104">
        <v>1526274000</v>
      </c>
      <c r="K104">
        <v>1526878800</v>
      </c>
      <c r="L104" t="b">
        <v>0</v>
      </c>
      <c r="M104" t="b">
        <v>1</v>
      </c>
      <c r="N104" t="s">
        <v>65</v>
      </c>
    </row>
    <row r="105" spans="1:14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t="s">
        <v>14</v>
      </c>
      <c r="G105">
        <v>37</v>
      </c>
      <c r="H105" t="s">
        <v>107</v>
      </c>
      <c r="I105" t="s">
        <v>108</v>
      </c>
      <c r="J105">
        <v>1287896400</v>
      </c>
      <c r="K105">
        <v>1288674000</v>
      </c>
      <c r="L105" t="b">
        <v>0</v>
      </c>
      <c r="M105" t="b">
        <v>0</v>
      </c>
      <c r="N105" t="s">
        <v>50</v>
      </c>
    </row>
    <row r="106" spans="1:14" ht="17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t="s">
        <v>20</v>
      </c>
      <c r="G106">
        <v>1917</v>
      </c>
      <c r="H106" t="s">
        <v>21</v>
      </c>
      <c r="I106" t="s">
        <v>22</v>
      </c>
      <c r="J106">
        <v>1495515600</v>
      </c>
      <c r="K106">
        <v>1495602000</v>
      </c>
      <c r="L106" t="b">
        <v>0</v>
      </c>
      <c r="M106" t="b">
        <v>0</v>
      </c>
      <c r="N106" t="s">
        <v>60</v>
      </c>
    </row>
    <row r="107" spans="1:14" ht="17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t="s">
        <v>20</v>
      </c>
      <c r="G107">
        <v>95</v>
      </c>
      <c r="H107" t="s">
        <v>21</v>
      </c>
      <c r="I107" t="s">
        <v>22</v>
      </c>
      <c r="J107">
        <v>1364878800</v>
      </c>
      <c r="K107">
        <v>1366434000</v>
      </c>
      <c r="L107" t="b">
        <v>0</v>
      </c>
      <c r="M107" t="b">
        <v>0</v>
      </c>
      <c r="N107" t="s">
        <v>28</v>
      </c>
    </row>
    <row r="108" spans="1:14" ht="17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t="s">
        <v>20</v>
      </c>
      <c r="G108">
        <v>147</v>
      </c>
      <c r="H108" t="s">
        <v>21</v>
      </c>
      <c r="I108" t="s">
        <v>22</v>
      </c>
      <c r="J108">
        <v>1567918800</v>
      </c>
      <c r="K108">
        <v>1568350800</v>
      </c>
      <c r="L108" t="b">
        <v>0</v>
      </c>
      <c r="M108" t="b">
        <v>0</v>
      </c>
      <c r="N108" t="s">
        <v>33</v>
      </c>
    </row>
    <row r="109" spans="1:14" ht="34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t="s">
        <v>20</v>
      </c>
      <c r="G109">
        <v>86</v>
      </c>
      <c r="H109" t="s">
        <v>21</v>
      </c>
      <c r="I109" t="s">
        <v>22</v>
      </c>
      <c r="J109">
        <v>1524459600</v>
      </c>
      <c r="K109">
        <v>1525928400</v>
      </c>
      <c r="L109" t="b">
        <v>0</v>
      </c>
      <c r="M109" t="b">
        <v>1</v>
      </c>
      <c r="N109" t="s">
        <v>33</v>
      </c>
    </row>
    <row r="110" spans="1:14" ht="34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t="s">
        <v>20</v>
      </c>
      <c r="G110">
        <v>83</v>
      </c>
      <c r="H110" t="s">
        <v>21</v>
      </c>
      <c r="I110" t="s">
        <v>22</v>
      </c>
      <c r="J110">
        <v>1333688400</v>
      </c>
      <c r="K110">
        <v>1336885200</v>
      </c>
      <c r="L110" t="b">
        <v>0</v>
      </c>
      <c r="M110" t="b">
        <v>0</v>
      </c>
      <c r="N110" t="s">
        <v>42</v>
      </c>
    </row>
    <row r="111" spans="1:14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t="s">
        <v>14</v>
      </c>
      <c r="G111">
        <v>60</v>
      </c>
      <c r="H111" t="s">
        <v>21</v>
      </c>
      <c r="I111" t="s">
        <v>22</v>
      </c>
      <c r="J111">
        <v>1389506400</v>
      </c>
      <c r="K111">
        <v>1389679200</v>
      </c>
      <c r="L111" t="b">
        <v>0</v>
      </c>
      <c r="M111" t="b">
        <v>0</v>
      </c>
      <c r="N111" t="s">
        <v>269</v>
      </c>
    </row>
    <row r="112" spans="1:14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t="s">
        <v>14</v>
      </c>
      <c r="G112">
        <v>296</v>
      </c>
      <c r="H112" t="s">
        <v>21</v>
      </c>
      <c r="I112" t="s">
        <v>22</v>
      </c>
      <c r="J112">
        <v>1536642000</v>
      </c>
      <c r="K112">
        <v>1538283600</v>
      </c>
      <c r="L112" t="b">
        <v>0</v>
      </c>
      <c r="M112" t="b">
        <v>0</v>
      </c>
      <c r="N112" t="s">
        <v>17</v>
      </c>
    </row>
    <row r="113" spans="1:14" ht="17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t="s">
        <v>20</v>
      </c>
      <c r="G113">
        <v>676</v>
      </c>
      <c r="H113" t="s">
        <v>21</v>
      </c>
      <c r="I113" t="s">
        <v>22</v>
      </c>
      <c r="J113">
        <v>1348290000</v>
      </c>
      <c r="K113">
        <v>1348808400</v>
      </c>
      <c r="L113" t="b">
        <v>0</v>
      </c>
      <c r="M113" t="b">
        <v>0</v>
      </c>
      <c r="N113" t="s">
        <v>133</v>
      </c>
    </row>
    <row r="114" spans="1:14" ht="17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t="s">
        <v>20</v>
      </c>
      <c r="G114">
        <v>361</v>
      </c>
      <c r="H114" t="s">
        <v>26</v>
      </c>
      <c r="I114" t="s">
        <v>27</v>
      </c>
      <c r="J114">
        <v>1408856400</v>
      </c>
      <c r="K114">
        <v>1410152400</v>
      </c>
      <c r="L114" t="b">
        <v>0</v>
      </c>
      <c r="M114" t="b">
        <v>0</v>
      </c>
      <c r="N114" t="s">
        <v>28</v>
      </c>
    </row>
    <row r="115" spans="1:14" ht="17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t="s">
        <v>20</v>
      </c>
      <c r="G115">
        <v>131</v>
      </c>
      <c r="H115" t="s">
        <v>21</v>
      </c>
      <c r="I115" t="s">
        <v>22</v>
      </c>
      <c r="J115">
        <v>1505192400</v>
      </c>
      <c r="K115">
        <v>1505797200</v>
      </c>
      <c r="L115" t="b">
        <v>0</v>
      </c>
      <c r="M115" t="b">
        <v>0</v>
      </c>
      <c r="N115" t="s">
        <v>17</v>
      </c>
    </row>
    <row r="116" spans="1:14" ht="17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t="s">
        <v>20</v>
      </c>
      <c r="G116">
        <v>126</v>
      </c>
      <c r="H116" t="s">
        <v>21</v>
      </c>
      <c r="I116" t="s">
        <v>22</v>
      </c>
      <c r="J116">
        <v>1554786000</v>
      </c>
      <c r="K116">
        <v>1554872400</v>
      </c>
      <c r="L116" t="b">
        <v>0</v>
      </c>
      <c r="M116" t="b">
        <v>1</v>
      </c>
      <c r="N116" t="s">
        <v>65</v>
      </c>
    </row>
    <row r="117" spans="1:14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t="s">
        <v>14</v>
      </c>
      <c r="G117">
        <v>3304</v>
      </c>
      <c r="H117" t="s">
        <v>107</v>
      </c>
      <c r="I117" t="s">
        <v>108</v>
      </c>
      <c r="J117">
        <v>1510898400</v>
      </c>
      <c r="K117">
        <v>1513922400</v>
      </c>
      <c r="L117" t="b">
        <v>0</v>
      </c>
      <c r="M117" t="b">
        <v>0</v>
      </c>
      <c r="N117" t="s">
        <v>119</v>
      </c>
    </row>
    <row r="118" spans="1:14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t="s">
        <v>14</v>
      </c>
      <c r="G118">
        <v>73</v>
      </c>
      <c r="H118" t="s">
        <v>21</v>
      </c>
      <c r="I118" t="s">
        <v>22</v>
      </c>
      <c r="J118">
        <v>1442552400</v>
      </c>
      <c r="K118">
        <v>1442638800</v>
      </c>
      <c r="L118" t="b">
        <v>0</v>
      </c>
      <c r="M118" t="b">
        <v>0</v>
      </c>
      <c r="N118" t="s">
        <v>33</v>
      </c>
    </row>
    <row r="119" spans="1:14" ht="17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t="s">
        <v>20</v>
      </c>
      <c r="G119">
        <v>275</v>
      </c>
      <c r="H119" t="s">
        <v>21</v>
      </c>
      <c r="I119" t="s">
        <v>22</v>
      </c>
      <c r="J119">
        <v>1316667600</v>
      </c>
      <c r="K119">
        <v>1317186000</v>
      </c>
      <c r="L119" t="b">
        <v>0</v>
      </c>
      <c r="M119" t="b">
        <v>0</v>
      </c>
      <c r="N119" t="s">
        <v>269</v>
      </c>
    </row>
    <row r="120" spans="1:14" ht="17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t="s">
        <v>20</v>
      </c>
      <c r="G120">
        <v>67</v>
      </c>
      <c r="H120" t="s">
        <v>21</v>
      </c>
      <c r="I120" t="s">
        <v>22</v>
      </c>
      <c r="J120">
        <v>1390716000</v>
      </c>
      <c r="K120">
        <v>1391234400</v>
      </c>
      <c r="L120" t="b">
        <v>0</v>
      </c>
      <c r="M120" t="b">
        <v>0</v>
      </c>
      <c r="N120" t="s">
        <v>122</v>
      </c>
    </row>
    <row r="121" spans="1:14" ht="34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t="s">
        <v>20</v>
      </c>
      <c r="G121">
        <v>154</v>
      </c>
      <c r="H121" t="s">
        <v>21</v>
      </c>
      <c r="I121" t="s">
        <v>22</v>
      </c>
      <c r="J121">
        <v>1402894800</v>
      </c>
      <c r="K121">
        <v>1404363600</v>
      </c>
      <c r="L121" t="b">
        <v>0</v>
      </c>
      <c r="M121" t="b">
        <v>1</v>
      </c>
      <c r="N121" t="s">
        <v>42</v>
      </c>
    </row>
    <row r="122" spans="1:14" ht="17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t="s">
        <v>20</v>
      </c>
      <c r="G122">
        <v>1782</v>
      </c>
      <c r="H122" t="s">
        <v>21</v>
      </c>
      <c r="I122" t="s">
        <v>22</v>
      </c>
      <c r="J122">
        <v>1429246800</v>
      </c>
      <c r="K122">
        <v>1429592400</v>
      </c>
      <c r="L122" t="b">
        <v>0</v>
      </c>
      <c r="M122" t="b">
        <v>1</v>
      </c>
      <c r="N122" t="s">
        <v>292</v>
      </c>
    </row>
    <row r="123" spans="1:14" ht="17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t="s">
        <v>20</v>
      </c>
      <c r="G123">
        <v>903</v>
      </c>
      <c r="H123" t="s">
        <v>21</v>
      </c>
      <c r="I123" t="s">
        <v>22</v>
      </c>
      <c r="J123">
        <v>1412485200</v>
      </c>
      <c r="K123">
        <v>1413608400</v>
      </c>
      <c r="L123" t="b">
        <v>0</v>
      </c>
      <c r="M123" t="b">
        <v>0</v>
      </c>
      <c r="N123" t="s">
        <v>89</v>
      </c>
    </row>
    <row r="124" spans="1:14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t="s">
        <v>14</v>
      </c>
      <c r="G124">
        <v>3387</v>
      </c>
      <c r="H124" t="s">
        <v>21</v>
      </c>
      <c r="I124" t="s">
        <v>22</v>
      </c>
      <c r="J124">
        <v>1417068000</v>
      </c>
      <c r="K124">
        <v>1419400800</v>
      </c>
      <c r="L124" t="b">
        <v>0</v>
      </c>
      <c r="M124" t="b">
        <v>0</v>
      </c>
      <c r="N124" t="s">
        <v>119</v>
      </c>
    </row>
    <row r="125" spans="1:14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>
        <v>1448604000</v>
      </c>
      <c r="L125" t="b">
        <v>1</v>
      </c>
      <c r="M125" t="b">
        <v>0</v>
      </c>
      <c r="N125" t="s">
        <v>33</v>
      </c>
    </row>
    <row r="126" spans="1:14" ht="17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t="s">
        <v>20</v>
      </c>
      <c r="G126">
        <v>94</v>
      </c>
      <c r="H126" t="s">
        <v>107</v>
      </c>
      <c r="I126" t="s">
        <v>108</v>
      </c>
      <c r="J126">
        <v>1557723600</v>
      </c>
      <c r="K126">
        <v>1562302800</v>
      </c>
      <c r="L126" t="b">
        <v>0</v>
      </c>
      <c r="M126" t="b">
        <v>0</v>
      </c>
      <c r="N126" t="s">
        <v>122</v>
      </c>
    </row>
    <row r="127" spans="1:14" ht="17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t="s">
        <v>20</v>
      </c>
      <c r="G127">
        <v>180</v>
      </c>
      <c r="H127" t="s">
        <v>21</v>
      </c>
      <c r="I127" t="s">
        <v>22</v>
      </c>
      <c r="J127">
        <v>1537333200</v>
      </c>
      <c r="K127">
        <v>1537678800</v>
      </c>
      <c r="L127" t="b">
        <v>0</v>
      </c>
      <c r="M127" t="b">
        <v>0</v>
      </c>
      <c r="N127" t="s">
        <v>33</v>
      </c>
    </row>
    <row r="128" spans="1:14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t="s">
        <v>14</v>
      </c>
      <c r="G128">
        <v>774</v>
      </c>
      <c r="H128" t="s">
        <v>21</v>
      </c>
      <c r="I128" t="s">
        <v>22</v>
      </c>
      <c r="J128">
        <v>1471150800</v>
      </c>
      <c r="K128">
        <v>1473570000</v>
      </c>
      <c r="L128" t="b">
        <v>0</v>
      </c>
      <c r="M128" t="b">
        <v>1</v>
      </c>
      <c r="N128" t="s">
        <v>33</v>
      </c>
    </row>
    <row r="129" spans="1:14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>
        <v>1273899600</v>
      </c>
      <c r="L129" t="b">
        <v>0</v>
      </c>
      <c r="M129" t="b">
        <v>0</v>
      </c>
      <c r="N129" t="s">
        <v>33</v>
      </c>
    </row>
    <row r="130" spans="1:14" ht="17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t="s">
        <v>74</v>
      </c>
      <c r="G130">
        <v>532</v>
      </c>
      <c r="H130" t="s">
        <v>21</v>
      </c>
      <c r="I130" t="s">
        <v>22</v>
      </c>
      <c r="J130">
        <v>1282885200</v>
      </c>
      <c r="K130">
        <v>1284008400</v>
      </c>
      <c r="L130" t="b">
        <v>0</v>
      </c>
      <c r="M130" t="b">
        <v>0</v>
      </c>
      <c r="N130" t="s">
        <v>23</v>
      </c>
    </row>
    <row r="131" spans="1:14" ht="17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t="s">
        <v>74</v>
      </c>
      <c r="G131">
        <v>55</v>
      </c>
      <c r="H131" t="s">
        <v>26</v>
      </c>
      <c r="I131" t="s">
        <v>27</v>
      </c>
      <c r="J131">
        <v>1422943200</v>
      </c>
      <c r="K131">
        <v>1425103200</v>
      </c>
      <c r="L131" t="b">
        <v>0</v>
      </c>
      <c r="M131" t="b">
        <v>0</v>
      </c>
      <c r="N131" t="s">
        <v>17</v>
      </c>
    </row>
    <row r="132" spans="1:14" ht="17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t="s">
        <v>20</v>
      </c>
      <c r="G132">
        <v>533</v>
      </c>
      <c r="H132" t="s">
        <v>36</v>
      </c>
      <c r="I132" t="s">
        <v>37</v>
      </c>
      <c r="J132">
        <v>1319605200</v>
      </c>
      <c r="K132">
        <v>1320991200</v>
      </c>
      <c r="L132" t="b">
        <v>0</v>
      </c>
      <c r="M132" t="b">
        <v>0</v>
      </c>
      <c r="N132" t="s">
        <v>53</v>
      </c>
    </row>
    <row r="133" spans="1:14" ht="34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t="s">
        <v>20</v>
      </c>
      <c r="G133">
        <v>2443</v>
      </c>
      <c r="H133" t="s">
        <v>40</v>
      </c>
      <c r="I133" t="s">
        <v>41</v>
      </c>
      <c r="J133">
        <v>1385704800</v>
      </c>
      <c r="K133">
        <v>1386828000</v>
      </c>
      <c r="L133" t="b">
        <v>0</v>
      </c>
      <c r="M133" t="b">
        <v>0</v>
      </c>
      <c r="N133" t="s">
        <v>28</v>
      </c>
    </row>
    <row r="134" spans="1:14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t="s">
        <v>20</v>
      </c>
      <c r="G134">
        <v>89</v>
      </c>
      <c r="H134" t="s">
        <v>21</v>
      </c>
      <c r="I134" t="s">
        <v>22</v>
      </c>
      <c r="J134">
        <v>1515736800</v>
      </c>
      <c r="K134">
        <v>1517119200</v>
      </c>
      <c r="L134" t="b">
        <v>0</v>
      </c>
      <c r="M134" t="b">
        <v>1</v>
      </c>
      <c r="N134" t="s">
        <v>33</v>
      </c>
    </row>
    <row r="135" spans="1:14" ht="17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t="s">
        <v>20</v>
      </c>
      <c r="G135">
        <v>159</v>
      </c>
      <c r="H135" t="s">
        <v>21</v>
      </c>
      <c r="I135" t="s">
        <v>22</v>
      </c>
      <c r="J135">
        <v>1313125200</v>
      </c>
      <c r="K135">
        <v>1315026000</v>
      </c>
      <c r="L135" t="b">
        <v>0</v>
      </c>
      <c r="M135" t="b">
        <v>0</v>
      </c>
      <c r="N135" t="s">
        <v>319</v>
      </c>
    </row>
    <row r="136" spans="1:14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t="s">
        <v>14</v>
      </c>
      <c r="G136">
        <v>940</v>
      </c>
      <c r="H136" t="s">
        <v>98</v>
      </c>
      <c r="I136" t="s">
        <v>99</v>
      </c>
      <c r="J136">
        <v>1308459600</v>
      </c>
      <c r="K136">
        <v>1312693200</v>
      </c>
      <c r="L136" t="b">
        <v>0</v>
      </c>
      <c r="M136" t="b">
        <v>1</v>
      </c>
      <c r="N136" t="s">
        <v>42</v>
      </c>
    </row>
    <row r="137" spans="1:14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t="s">
        <v>14</v>
      </c>
      <c r="G137">
        <v>117</v>
      </c>
      <c r="H137" t="s">
        <v>21</v>
      </c>
      <c r="I137" t="s">
        <v>22</v>
      </c>
      <c r="J137">
        <v>1362636000</v>
      </c>
      <c r="K137">
        <v>1363064400</v>
      </c>
      <c r="L137" t="b">
        <v>0</v>
      </c>
      <c r="M137" t="b">
        <v>1</v>
      </c>
      <c r="N137" t="s">
        <v>33</v>
      </c>
    </row>
    <row r="138" spans="1:14" ht="17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t="s">
        <v>74</v>
      </c>
      <c r="G138">
        <v>58</v>
      </c>
      <c r="H138" t="s">
        <v>21</v>
      </c>
      <c r="I138" t="s">
        <v>22</v>
      </c>
      <c r="J138">
        <v>1402117200</v>
      </c>
      <c r="K138">
        <v>1403154000</v>
      </c>
      <c r="L138" t="b">
        <v>0</v>
      </c>
      <c r="M138" t="b">
        <v>1</v>
      </c>
      <c r="N138" t="s">
        <v>53</v>
      </c>
    </row>
    <row r="139" spans="1:14" ht="17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t="s">
        <v>20</v>
      </c>
      <c r="G139">
        <v>50</v>
      </c>
      <c r="H139" t="s">
        <v>21</v>
      </c>
      <c r="I139" t="s">
        <v>22</v>
      </c>
      <c r="J139">
        <v>1286341200</v>
      </c>
      <c r="K139">
        <v>1286859600</v>
      </c>
      <c r="L139" t="b">
        <v>0</v>
      </c>
      <c r="M139" t="b">
        <v>0</v>
      </c>
      <c r="N139" t="s">
        <v>68</v>
      </c>
    </row>
    <row r="140" spans="1:14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t="s">
        <v>14</v>
      </c>
      <c r="G140">
        <v>115</v>
      </c>
      <c r="H140" t="s">
        <v>21</v>
      </c>
      <c r="I140" t="s">
        <v>22</v>
      </c>
      <c r="J140">
        <v>1348808400</v>
      </c>
      <c r="K140">
        <v>1349326800</v>
      </c>
      <c r="L140" t="b">
        <v>0</v>
      </c>
      <c r="M140" t="b">
        <v>0</v>
      </c>
      <c r="N140" t="s">
        <v>292</v>
      </c>
    </row>
    <row r="141" spans="1:14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t="s">
        <v>14</v>
      </c>
      <c r="G141">
        <v>326</v>
      </c>
      <c r="H141" t="s">
        <v>21</v>
      </c>
      <c r="I141" t="s">
        <v>22</v>
      </c>
      <c r="J141">
        <v>1429592400</v>
      </c>
      <c r="K141">
        <v>1430974800</v>
      </c>
      <c r="L141" t="b">
        <v>0</v>
      </c>
      <c r="M141" t="b">
        <v>1</v>
      </c>
      <c r="N141" t="s">
        <v>65</v>
      </c>
    </row>
    <row r="142" spans="1:14" ht="34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t="s">
        <v>20</v>
      </c>
      <c r="G142">
        <v>186</v>
      </c>
      <c r="H142" t="s">
        <v>21</v>
      </c>
      <c r="I142" t="s">
        <v>22</v>
      </c>
      <c r="J142">
        <v>1519538400</v>
      </c>
      <c r="K142">
        <v>1519970400</v>
      </c>
      <c r="L142" t="b">
        <v>0</v>
      </c>
      <c r="M142" t="b">
        <v>0</v>
      </c>
      <c r="N142" t="s">
        <v>42</v>
      </c>
    </row>
    <row r="143" spans="1:14" ht="17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t="s">
        <v>20</v>
      </c>
      <c r="G143">
        <v>1071</v>
      </c>
      <c r="H143" t="s">
        <v>21</v>
      </c>
      <c r="I143" t="s">
        <v>22</v>
      </c>
      <c r="J143">
        <v>1434085200</v>
      </c>
      <c r="K143">
        <v>1434603600</v>
      </c>
      <c r="L143" t="b">
        <v>0</v>
      </c>
      <c r="M143" t="b">
        <v>0</v>
      </c>
      <c r="N143" t="s">
        <v>28</v>
      </c>
    </row>
    <row r="144" spans="1:14" ht="34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t="s">
        <v>20</v>
      </c>
      <c r="G144">
        <v>117</v>
      </c>
      <c r="H144" t="s">
        <v>21</v>
      </c>
      <c r="I144" t="s">
        <v>22</v>
      </c>
      <c r="J144">
        <v>1333688400</v>
      </c>
      <c r="K144">
        <v>1337230800</v>
      </c>
      <c r="L144" t="b">
        <v>0</v>
      </c>
      <c r="M144" t="b">
        <v>0</v>
      </c>
      <c r="N144" t="s">
        <v>28</v>
      </c>
    </row>
    <row r="145" spans="1:14" ht="17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t="s">
        <v>20</v>
      </c>
      <c r="G145">
        <v>70</v>
      </c>
      <c r="H145" t="s">
        <v>21</v>
      </c>
      <c r="I145" t="s">
        <v>22</v>
      </c>
      <c r="J145">
        <v>1277701200</v>
      </c>
      <c r="K145">
        <v>1279429200</v>
      </c>
      <c r="L145" t="b">
        <v>0</v>
      </c>
      <c r="M145" t="b">
        <v>0</v>
      </c>
      <c r="N145" t="s">
        <v>60</v>
      </c>
    </row>
    <row r="146" spans="1:14" ht="17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t="s">
        <v>20</v>
      </c>
      <c r="G146">
        <v>135</v>
      </c>
      <c r="H146" t="s">
        <v>21</v>
      </c>
      <c r="I146" t="s">
        <v>22</v>
      </c>
      <c r="J146">
        <v>1560747600</v>
      </c>
      <c r="K146">
        <v>1561438800</v>
      </c>
      <c r="L146" t="b">
        <v>0</v>
      </c>
      <c r="M146" t="b">
        <v>0</v>
      </c>
      <c r="N146" t="s">
        <v>33</v>
      </c>
    </row>
    <row r="147" spans="1:14" ht="17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t="s">
        <v>20</v>
      </c>
      <c r="G147">
        <v>768</v>
      </c>
      <c r="H147" t="s">
        <v>98</v>
      </c>
      <c r="I147" t="s">
        <v>99</v>
      </c>
      <c r="J147">
        <v>1410066000</v>
      </c>
      <c r="K147">
        <v>1410498000</v>
      </c>
      <c r="L147" t="b">
        <v>0</v>
      </c>
      <c r="M147" t="b">
        <v>0</v>
      </c>
      <c r="N147" t="s">
        <v>65</v>
      </c>
    </row>
    <row r="148" spans="1:14" ht="34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t="s">
        <v>74</v>
      </c>
      <c r="G148">
        <v>51</v>
      </c>
      <c r="H148" t="s">
        <v>21</v>
      </c>
      <c r="I148" t="s">
        <v>22</v>
      </c>
      <c r="J148">
        <v>1320732000</v>
      </c>
      <c r="K148">
        <v>1322460000</v>
      </c>
      <c r="L148" t="b">
        <v>0</v>
      </c>
      <c r="M148" t="b">
        <v>0</v>
      </c>
      <c r="N148" t="s">
        <v>33</v>
      </c>
    </row>
    <row r="149" spans="1:14" ht="34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t="s">
        <v>20</v>
      </c>
      <c r="G149">
        <v>199</v>
      </c>
      <c r="H149" t="s">
        <v>21</v>
      </c>
      <c r="I149" t="s">
        <v>22</v>
      </c>
      <c r="J149">
        <v>1465794000</v>
      </c>
      <c r="K149">
        <v>1466312400</v>
      </c>
      <c r="L149" t="b">
        <v>0</v>
      </c>
      <c r="M149" t="b">
        <v>1</v>
      </c>
      <c r="N149" t="s">
        <v>33</v>
      </c>
    </row>
    <row r="150" spans="1:14" ht="17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t="s">
        <v>20</v>
      </c>
      <c r="G150">
        <v>107</v>
      </c>
      <c r="H150" t="s">
        <v>21</v>
      </c>
      <c r="I150" t="s">
        <v>22</v>
      </c>
      <c r="J150">
        <v>1500958800</v>
      </c>
      <c r="K150">
        <v>1501736400</v>
      </c>
      <c r="L150" t="b">
        <v>0</v>
      </c>
      <c r="M150" t="b">
        <v>0</v>
      </c>
      <c r="N150" t="s">
        <v>65</v>
      </c>
    </row>
    <row r="151" spans="1:14" ht="17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t="s">
        <v>20</v>
      </c>
      <c r="G151">
        <v>195</v>
      </c>
      <c r="H151" t="s">
        <v>21</v>
      </c>
      <c r="I151" t="s">
        <v>22</v>
      </c>
      <c r="J151">
        <v>1357020000</v>
      </c>
      <c r="K151">
        <v>1361512800</v>
      </c>
      <c r="L151" t="b">
        <v>0</v>
      </c>
      <c r="M151" t="b">
        <v>0</v>
      </c>
      <c r="N151" t="s">
        <v>60</v>
      </c>
    </row>
    <row r="152" spans="1:14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t="s">
        <v>14</v>
      </c>
      <c r="G152">
        <v>1</v>
      </c>
      <c r="H152" t="s">
        <v>21</v>
      </c>
      <c r="I152" t="s">
        <v>22</v>
      </c>
      <c r="J152">
        <v>1544940000</v>
      </c>
      <c r="K152">
        <v>1545026400</v>
      </c>
      <c r="L152" t="b">
        <v>0</v>
      </c>
      <c r="M152" t="b">
        <v>0</v>
      </c>
      <c r="N152" t="s">
        <v>23</v>
      </c>
    </row>
    <row r="153" spans="1:14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t="s">
        <v>14</v>
      </c>
      <c r="G153">
        <v>1467</v>
      </c>
      <c r="H153" t="s">
        <v>21</v>
      </c>
      <c r="I153" t="s">
        <v>22</v>
      </c>
      <c r="J153">
        <v>1402290000</v>
      </c>
      <c r="K153">
        <v>1406696400</v>
      </c>
      <c r="L153" t="b">
        <v>0</v>
      </c>
      <c r="M153" t="b">
        <v>0</v>
      </c>
      <c r="N153" t="s">
        <v>50</v>
      </c>
    </row>
    <row r="154" spans="1:14" ht="17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t="s">
        <v>20</v>
      </c>
      <c r="G154">
        <v>3376</v>
      </c>
      <c r="H154" t="s">
        <v>21</v>
      </c>
      <c r="I154" t="s">
        <v>22</v>
      </c>
      <c r="J154">
        <v>1487311200</v>
      </c>
      <c r="K154">
        <v>1487916000</v>
      </c>
      <c r="L154" t="b">
        <v>0</v>
      </c>
      <c r="M154" t="b">
        <v>0</v>
      </c>
      <c r="N154" t="s">
        <v>60</v>
      </c>
    </row>
    <row r="155" spans="1:14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t="s">
        <v>14</v>
      </c>
      <c r="G155">
        <v>5681</v>
      </c>
      <c r="H155" t="s">
        <v>21</v>
      </c>
      <c r="I155" t="s">
        <v>22</v>
      </c>
      <c r="J155">
        <v>1350622800</v>
      </c>
      <c r="K155">
        <v>1351141200</v>
      </c>
      <c r="L155" t="b">
        <v>0</v>
      </c>
      <c r="M155" t="b">
        <v>0</v>
      </c>
      <c r="N155" t="s">
        <v>33</v>
      </c>
    </row>
    <row r="156" spans="1:14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t="s">
        <v>14</v>
      </c>
      <c r="G156">
        <v>1059</v>
      </c>
      <c r="H156" t="s">
        <v>21</v>
      </c>
      <c r="I156" t="s">
        <v>22</v>
      </c>
      <c r="J156">
        <v>1463029200</v>
      </c>
      <c r="K156">
        <v>1465016400</v>
      </c>
      <c r="L156" t="b">
        <v>0</v>
      </c>
      <c r="M156" t="b">
        <v>1</v>
      </c>
      <c r="N156" t="s">
        <v>60</v>
      </c>
    </row>
    <row r="157" spans="1:14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t="s">
        <v>14</v>
      </c>
      <c r="G157">
        <v>1194</v>
      </c>
      <c r="H157" t="s">
        <v>21</v>
      </c>
      <c r="I157" t="s">
        <v>22</v>
      </c>
      <c r="J157">
        <v>1269493200</v>
      </c>
      <c r="K157">
        <v>1270789200</v>
      </c>
      <c r="L157" t="b">
        <v>0</v>
      </c>
      <c r="M157" t="b">
        <v>0</v>
      </c>
      <c r="N157" t="s">
        <v>33</v>
      </c>
    </row>
    <row r="158" spans="1:14" ht="17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t="s">
        <v>74</v>
      </c>
      <c r="G158">
        <v>379</v>
      </c>
      <c r="H158" t="s">
        <v>26</v>
      </c>
      <c r="I158" t="s">
        <v>27</v>
      </c>
      <c r="J158">
        <v>1570251600</v>
      </c>
      <c r="K158">
        <v>1572325200</v>
      </c>
      <c r="L158" t="b">
        <v>0</v>
      </c>
      <c r="M158" t="b">
        <v>0</v>
      </c>
      <c r="N158" t="s">
        <v>23</v>
      </c>
    </row>
    <row r="159" spans="1:14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t="s">
        <v>14</v>
      </c>
      <c r="G159">
        <v>30</v>
      </c>
      <c r="H159" t="s">
        <v>26</v>
      </c>
      <c r="I159" t="s">
        <v>27</v>
      </c>
      <c r="J159">
        <v>1388383200</v>
      </c>
      <c r="K159">
        <v>1389420000</v>
      </c>
      <c r="L159" t="b">
        <v>0</v>
      </c>
      <c r="M159" t="b">
        <v>0</v>
      </c>
      <c r="N159" t="s">
        <v>122</v>
      </c>
    </row>
    <row r="160" spans="1:14" ht="17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t="s">
        <v>20</v>
      </c>
      <c r="G160">
        <v>41</v>
      </c>
      <c r="H160" t="s">
        <v>21</v>
      </c>
      <c r="I160" t="s">
        <v>22</v>
      </c>
      <c r="J160">
        <v>1449554400</v>
      </c>
      <c r="K160">
        <v>1449640800</v>
      </c>
      <c r="L160" t="b">
        <v>0</v>
      </c>
      <c r="M160" t="b">
        <v>0</v>
      </c>
      <c r="N160" t="s">
        <v>23</v>
      </c>
    </row>
    <row r="161" spans="1:14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t="s">
        <v>20</v>
      </c>
      <c r="G161">
        <v>1821</v>
      </c>
      <c r="H161" t="s">
        <v>21</v>
      </c>
      <c r="I161" t="s">
        <v>22</v>
      </c>
      <c r="J161">
        <v>1553662800</v>
      </c>
      <c r="K161">
        <v>1555218000</v>
      </c>
      <c r="L161" t="b">
        <v>0</v>
      </c>
      <c r="M161" t="b">
        <v>1</v>
      </c>
      <c r="N161" t="s">
        <v>33</v>
      </c>
    </row>
    <row r="162" spans="1:14" ht="17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t="s">
        <v>20</v>
      </c>
      <c r="G162">
        <v>164</v>
      </c>
      <c r="H162" t="s">
        <v>21</v>
      </c>
      <c r="I162" t="s">
        <v>22</v>
      </c>
      <c r="J162">
        <v>1556341200</v>
      </c>
      <c r="K162">
        <v>1557723600</v>
      </c>
      <c r="L162" t="b">
        <v>0</v>
      </c>
      <c r="M162" t="b">
        <v>0</v>
      </c>
      <c r="N162" t="s">
        <v>65</v>
      </c>
    </row>
    <row r="163" spans="1:14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t="s">
        <v>14</v>
      </c>
      <c r="G163">
        <v>75</v>
      </c>
      <c r="H163" t="s">
        <v>21</v>
      </c>
      <c r="I163" t="s">
        <v>22</v>
      </c>
      <c r="J163">
        <v>1442984400</v>
      </c>
      <c r="K163">
        <v>1443502800</v>
      </c>
      <c r="L163" t="b">
        <v>0</v>
      </c>
      <c r="M163" t="b">
        <v>1</v>
      </c>
      <c r="N163" t="s">
        <v>28</v>
      </c>
    </row>
    <row r="164" spans="1:14" ht="34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t="s">
        <v>20</v>
      </c>
      <c r="G164">
        <v>157</v>
      </c>
      <c r="H164" t="s">
        <v>98</v>
      </c>
      <c r="I164" t="s">
        <v>99</v>
      </c>
      <c r="J164">
        <v>1544248800</v>
      </c>
      <c r="K164">
        <v>1546840800</v>
      </c>
      <c r="L164" t="b">
        <v>0</v>
      </c>
      <c r="M164" t="b">
        <v>0</v>
      </c>
      <c r="N164" t="s">
        <v>23</v>
      </c>
    </row>
    <row r="165" spans="1:14" ht="17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t="s">
        <v>20</v>
      </c>
      <c r="G165">
        <v>246</v>
      </c>
      <c r="H165" t="s">
        <v>21</v>
      </c>
      <c r="I165" t="s">
        <v>22</v>
      </c>
      <c r="J165">
        <v>1508475600</v>
      </c>
      <c r="K165">
        <v>1512712800</v>
      </c>
      <c r="L165" t="b">
        <v>0</v>
      </c>
      <c r="M165" t="b">
        <v>1</v>
      </c>
      <c r="N165" t="s">
        <v>122</v>
      </c>
    </row>
    <row r="166" spans="1:14" ht="17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t="s">
        <v>20</v>
      </c>
      <c r="G166">
        <v>1396</v>
      </c>
      <c r="H166" t="s">
        <v>21</v>
      </c>
      <c r="I166" t="s">
        <v>22</v>
      </c>
      <c r="J166">
        <v>1507438800</v>
      </c>
      <c r="K166">
        <v>1507525200</v>
      </c>
      <c r="L166" t="b">
        <v>0</v>
      </c>
      <c r="M166" t="b">
        <v>0</v>
      </c>
      <c r="N166" t="s">
        <v>33</v>
      </c>
    </row>
    <row r="167" spans="1:14" ht="17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t="s">
        <v>20</v>
      </c>
      <c r="G167">
        <v>2506</v>
      </c>
      <c r="H167" t="s">
        <v>21</v>
      </c>
      <c r="I167" t="s">
        <v>22</v>
      </c>
      <c r="J167">
        <v>1501563600</v>
      </c>
      <c r="K167">
        <v>1504328400</v>
      </c>
      <c r="L167" t="b">
        <v>0</v>
      </c>
      <c r="M167" t="b">
        <v>0</v>
      </c>
      <c r="N167" t="s">
        <v>28</v>
      </c>
    </row>
    <row r="168" spans="1:14" ht="17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t="s">
        <v>20</v>
      </c>
      <c r="G168">
        <v>244</v>
      </c>
      <c r="H168" t="s">
        <v>21</v>
      </c>
      <c r="I168" t="s">
        <v>22</v>
      </c>
      <c r="J168">
        <v>1292997600</v>
      </c>
      <c r="K168">
        <v>1293343200</v>
      </c>
      <c r="L168" t="b">
        <v>0</v>
      </c>
      <c r="M168" t="b">
        <v>0</v>
      </c>
      <c r="N168" t="s">
        <v>122</v>
      </c>
    </row>
    <row r="169" spans="1:14" ht="17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t="s">
        <v>20</v>
      </c>
      <c r="G169">
        <v>146</v>
      </c>
      <c r="H169" t="s">
        <v>26</v>
      </c>
      <c r="I169" t="s">
        <v>27</v>
      </c>
      <c r="J169">
        <v>1370840400</v>
      </c>
      <c r="K169">
        <v>1371704400</v>
      </c>
      <c r="L169" t="b">
        <v>0</v>
      </c>
      <c r="M169" t="b">
        <v>0</v>
      </c>
      <c r="N169" t="s">
        <v>33</v>
      </c>
    </row>
    <row r="170" spans="1:14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t="s">
        <v>14</v>
      </c>
      <c r="G170">
        <v>955</v>
      </c>
      <c r="H170" t="s">
        <v>36</v>
      </c>
      <c r="I170" t="s">
        <v>37</v>
      </c>
      <c r="J170">
        <v>1550815200</v>
      </c>
      <c r="K170">
        <v>1552798800</v>
      </c>
      <c r="L170" t="b">
        <v>0</v>
      </c>
      <c r="M170" t="b">
        <v>1</v>
      </c>
      <c r="N170" t="s">
        <v>60</v>
      </c>
    </row>
    <row r="171" spans="1:14" ht="17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t="s">
        <v>20</v>
      </c>
      <c r="G171">
        <v>1267</v>
      </c>
      <c r="H171" t="s">
        <v>21</v>
      </c>
      <c r="I171" t="s">
        <v>22</v>
      </c>
      <c r="J171">
        <v>1339909200</v>
      </c>
      <c r="K171">
        <v>1342328400</v>
      </c>
      <c r="L171" t="b">
        <v>0</v>
      </c>
      <c r="M171" t="b">
        <v>1</v>
      </c>
      <c r="N171" t="s">
        <v>100</v>
      </c>
    </row>
    <row r="172" spans="1:14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t="s">
        <v>14</v>
      </c>
      <c r="G172">
        <v>67</v>
      </c>
      <c r="H172" t="s">
        <v>21</v>
      </c>
      <c r="I172" t="s">
        <v>22</v>
      </c>
      <c r="J172">
        <v>1501736400</v>
      </c>
      <c r="K172">
        <v>1502341200</v>
      </c>
      <c r="L172" t="b">
        <v>0</v>
      </c>
      <c r="M172" t="b">
        <v>0</v>
      </c>
      <c r="N172" t="s">
        <v>60</v>
      </c>
    </row>
    <row r="173" spans="1:14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t="s">
        <v>14</v>
      </c>
      <c r="G173">
        <v>5</v>
      </c>
      <c r="H173" t="s">
        <v>21</v>
      </c>
      <c r="I173" t="s">
        <v>22</v>
      </c>
      <c r="J173">
        <v>1395291600</v>
      </c>
      <c r="K173">
        <v>1397192400</v>
      </c>
      <c r="L173" t="b">
        <v>0</v>
      </c>
      <c r="M173" t="b">
        <v>0</v>
      </c>
      <c r="N173" t="s">
        <v>206</v>
      </c>
    </row>
    <row r="174" spans="1:14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t="s">
        <v>14</v>
      </c>
      <c r="G174">
        <v>26</v>
      </c>
      <c r="H174" t="s">
        <v>21</v>
      </c>
      <c r="I174" t="s">
        <v>22</v>
      </c>
      <c r="J174">
        <v>1405746000</v>
      </c>
      <c r="K174">
        <v>1407042000</v>
      </c>
      <c r="L174" t="b">
        <v>0</v>
      </c>
      <c r="M174" t="b">
        <v>1</v>
      </c>
      <c r="N174" t="s">
        <v>42</v>
      </c>
    </row>
    <row r="175" spans="1:14" ht="34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t="s">
        <v>20</v>
      </c>
      <c r="G175">
        <v>1561</v>
      </c>
      <c r="H175" t="s">
        <v>21</v>
      </c>
      <c r="I175" t="s">
        <v>22</v>
      </c>
      <c r="J175">
        <v>1368853200</v>
      </c>
      <c r="K175">
        <v>1369371600</v>
      </c>
      <c r="L175" t="b">
        <v>0</v>
      </c>
      <c r="M175" t="b">
        <v>0</v>
      </c>
      <c r="N175" t="s">
        <v>33</v>
      </c>
    </row>
    <row r="176" spans="1:14" ht="17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t="s">
        <v>20</v>
      </c>
      <c r="G176">
        <v>48</v>
      </c>
      <c r="H176" t="s">
        <v>21</v>
      </c>
      <c r="I176" t="s">
        <v>22</v>
      </c>
      <c r="J176">
        <v>1444021200</v>
      </c>
      <c r="K176">
        <v>1444107600</v>
      </c>
      <c r="L176" t="b">
        <v>0</v>
      </c>
      <c r="M176" t="b">
        <v>1</v>
      </c>
      <c r="N176" t="s">
        <v>65</v>
      </c>
    </row>
    <row r="177" spans="1:14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t="s">
        <v>14</v>
      </c>
      <c r="G177">
        <v>1130</v>
      </c>
      <c r="H177" t="s">
        <v>21</v>
      </c>
      <c r="I177" t="s">
        <v>22</v>
      </c>
      <c r="J177">
        <v>1472619600</v>
      </c>
      <c r="K177">
        <v>1474261200</v>
      </c>
      <c r="L177" t="b">
        <v>0</v>
      </c>
      <c r="M177" t="b">
        <v>0</v>
      </c>
      <c r="N177" t="s">
        <v>33</v>
      </c>
    </row>
    <row r="178" spans="1:14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t="s">
        <v>14</v>
      </c>
      <c r="G178">
        <v>782</v>
      </c>
      <c r="H178" t="s">
        <v>21</v>
      </c>
      <c r="I178" t="s">
        <v>22</v>
      </c>
      <c r="J178">
        <v>1472878800</v>
      </c>
      <c r="K178">
        <v>1473656400</v>
      </c>
      <c r="L178" t="b">
        <v>0</v>
      </c>
      <c r="M178" t="b">
        <v>0</v>
      </c>
      <c r="N178" t="s">
        <v>33</v>
      </c>
    </row>
    <row r="179" spans="1:14" ht="17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t="s">
        <v>20</v>
      </c>
      <c r="G179">
        <v>2739</v>
      </c>
      <c r="H179" t="s">
        <v>21</v>
      </c>
      <c r="I179" t="s">
        <v>22</v>
      </c>
      <c r="J179">
        <v>1289800800</v>
      </c>
      <c r="K179">
        <v>1291960800</v>
      </c>
      <c r="L179" t="b">
        <v>0</v>
      </c>
      <c r="M179" t="b">
        <v>0</v>
      </c>
      <c r="N179" t="s">
        <v>33</v>
      </c>
    </row>
    <row r="180" spans="1:14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t="s">
        <v>14</v>
      </c>
      <c r="G180">
        <v>210</v>
      </c>
      <c r="H180" t="s">
        <v>21</v>
      </c>
      <c r="I180" t="s">
        <v>22</v>
      </c>
      <c r="J180">
        <v>1505970000</v>
      </c>
      <c r="K180">
        <v>1506747600</v>
      </c>
      <c r="L180" t="b">
        <v>0</v>
      </c>
      <c r="M180" t="b">
        <v>0</v>
      </c>
      <c r="N180" t="s">
        <v>17</v>
      </c>
    </row>
    <row r="181" spans="1:14" ht="34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t="s">
        <v>20</v>
      </c>
      <c r="G181">
        <v>3537</v>
      </c>
      <c r="H181" t="s">
        <v>15</v>
      </c>
      <c r="I181" t="s">
        <v>16</v>
      </c>
      <c r="J181">
        <v>1363496400</v>
      </c>
      <c r="K181">
        <v>1363582800</v>
      </c>
      <c r="L181" t="b">
        <v>0</v>
      </c>
      <c r="M181" t="b">
        <v>1</v>
      </c>
      <c r="N181" t="s">
        <v>33</v>
      </c>
    </row>
    <row r="182" spans="1:14" ht="17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t="s">
        <v>20</v>
      </c>
      <c r="G182">
        <v>2107</v>
      </c>
      <c r="H182" t="s">
        <v>26</v>
      </c>
      <c r="I182" t="s">
        <v>27</v>
      </c>
      <c r="J182">
        <v>1269234000</v>
      </c>
      <c r="K182">
        <v>1269666000</v>
      </c>
      <c r="L182" t="b">
        <v>0</v>
      </c>
      <c r="M182" t="b">
        <v>0</v>
      </c>
      <c r="N182" t="s">
        <v>65</v>
      </c>
    </row>
    <row r="183" spans="1:14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t="s">
        <v>14</v>
      </c>
      <c r="G183">
        <v>136</v>
      </c>
      <c r="H183" t="s">
        <v>21</v>
      </c>
      <c r="I183" t="s">
        <v>22</v>
      </c>
      <c r="J183">
        <v>1507093200</v>
      </c>
      <c r="K183">
        <v>1508648400</v>
      </c>
      <c r="L183" t="b">
        <v>0</v>
      </c>
      <c r="M183" t="b">
        <v>0</v>
      </c>
      <c r="N183" t="s">
        <v>28</v>
      </c>
    </row>
    <row r="184" spans="1:14" ht="34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t="s">
        <v>20</v>
      </c>
      <c r="G184">
        <v>3318</v>
      </c>
      <c r="H184" t="s">
        <v>36</v>
      </c>
      <c r="I184" t="s">
        <v>37</v>
      </c>
      <c r="J184">
        <v>1560574800</v>
      </c>
      <c r="K184">
        <v>1561957200</v>
      </c>
      <c r="L184" t="b">
        <v>0</v>
      </c>
      <c r="M184" t="b">
        <v>0</v>
      </c>
      <c r="N184" t="s">
        <v>33</v>
      </c>
    </row>
    <row r="185" spans="1:14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>
        <v>1285131600</v>
      </c>
      <c r="L185" t="b">
        <v>0</v>
      </c>
      <c r="M185" t="b">
        <v>0</v>
      </c>
      <c r="N185" t="s">
        <v>23</v>
      </c>
    </row>
    <row r="186" spans="1:14" ht="17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t="s">
        <v>20</v>
      </c>
      <c r="G186">
        <v>340</v>
      </c>
      <c r="H186" t="s">
        <v>21</v>
      </c>
      <c r="I186" t="s">
        <v>22</v>
      </c>
      <c r="J186">
        <v>1556859600</v>
      </c>
      <c r="K186">
        <v>1556946000</v>
      </c>
      <c r="L186" t="b">
        <v>0</v>
      </c>
      <c r="M186" t="b">
        <v>0</v>
      </c>
      <c r="N186" t="s">
        <v>33</v>
      </c>
    </row>
    <row r="187" spans="1:14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t="s">
        <v>14</v>
      </c>
      <c r="G187">
        <v>19</v>
      </c>
      <c r="H187" t="s">
        <v>21</v>
      </c>
      <c r="I187" t="s">
        <v>22</v>
      </c>
      <c r="J187">
        <v>1526187600</v>
      </c>
      <c r="K187">
        <v>1527138000</v>
      </c>
      <c r="L187" t="b">
        <v>0</v>
      </c>
      <c r="M187" t="b">
        <v>0</v>
      </c>
      <c r="N187" t="s">
        <v>269</v>
      </c>
    </row>
    <row r="188" spans="1:14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t="s">
        <v>14</v>
      </c>
      <c r="G188">
        <v>886</v>
      </c>
      <c r="H188" t="s">
        <v>21</v>
      </c>
      <c r="I188" t="s">
        <v>22</v>
      </c>
      <c r="J188">
        <v>1400821200</v>
      </c>
      <c r="K188">
        <v>1402117200</v>
      </c>
      <c r="L188" t="b">
        <v>0</v>
      </c>
      <c r="M188" t="b">
        <v>0</v>
      </c>
      <c r="N188" t="s">
        <v>33</v>
      </c>
    </row>
    <row r="189" spans="1:14" ht="17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t="s">
        <v>20</v>
      </c>
      <c r="G189">
        <v>1442</v>
      </c>
      <c r="H189" t="s">
        <v>15</v>
      </c>
      <c r="I189" t="s">
        <v>16</v>
      </c>
      <c r="J189">
        <v>1361599200</v>
      </c>
      <c r="K189">
        <v>1364014800</v>
      </c>
      <c r="L189" t="b">
        <v>0</v>
      </c>
      <c r="M189" t="b">
        <v>1</v>
      </c>
      <c r="N189" t="s">
        <v>100</v>
      </c>
    </row>
    <row r="190" spans="1:14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t="s">
        <v>14</v>
      </c>
      <c r="G190">
        <v>35</v>
      </c>
      <c r="H190" t="s">
        <v>107</v>
      </c>
      <c r="I190" t="s">
        <v>108</v>
      </c>
      <c r="J190">
        <v>1417500000</v>
      </c>
      <c r="K190">
        <v>1417586400</v>
      </c>
      <c r="L190" t="b">
        <v>0</v>
      </c>
      <c r="M190" t="b">
        <v>0</v>
      </c>
      <c r="N190" t="s">
        <v>33</v>
      </c>
    </row>
    <row r="191" spans="1:14" ht="17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t="s">
        <v>74</v>
      </c>
      <c r="G191">
        <v>441</v>
      </c>
      <c r="H191" t="s">
        <v>21</v>
      </c>
      <c r="I191" t="s">
        <v>22</v>
      </c>
      <c r="J191">
        <v>1457071200</v>
      </c>
      <c r="K191">
        <v>1457071200</v>
      </c>
      <c r="L191" t="b">
        <v>0</v>
      </c>
      <c r="M191" t="b">
        <v>0</v>
      </c>
      <c r="N191" t="s">
        <v>33</v>
      </c>
    </row>
    <row r="192" spans="1:14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t="s">
        <v>14</v>
      </c>
      <c r="G192">
        <v>24</v>
      </c>
      <c r="H192" t="s">
        <v>21</v>
      </c>
      <c r="I192" t="s">
        <v>22</v>
      </c>
      <c r="J192">
        <v>1370322000</v>
      </c>
      <c r="K192">
        <v>1370408400</v>
      </c>
      <c r="L192" t="b">
        <v>0</v>
      </c>
      <c r="M192" t="b">
        <v>1</v>
      </c>
      <c r="N192" t="s">
        <v>33</v>
      </c>
    </row>
    <row r="193" spans="1:14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t="s">
        <v>14</v>
      </c>
      <c r="G193">
        <v>86</v>
      </c>
      <c r="H193" t="s">
        <v>107</v>
      </c>
      <c r="I193" t="s">
        <v>108</v>
      </c>
      <c r="J193">
        <v>1552366800</v>
      </c>
      <c r="K193">
        <v>1552626000</v>
      </c>
      <c r="L193" t="b">
        <v>0</v>
      </c>
      <c r="M193" t="b">
        <v>0</v>
      </c>
      <c r="N193" t="s">
        <v>33</v>
      </c>
    </row>
    <row r="194" spans="1:14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t="s">
        <v>14</v>
      </c>
      <c r="G194">
        <v>243</v>
      </c>
      <c r="H194" t="s">
        <v>21</v>
      </c>
      <c r="I194" t="s">
        <v>22</v>
      </c>
      <c r="J194">
        <v>1403845200</v>
      </c>
      <c r="K194">
        <v>1404190800</v>
      </c>
      <c r="L194" t="b">
        <v>0</v>
      </c>
      <c r="M194" t="b">
        <v>0</v>
      </c>
      <c r="N194" t="s">
        <v>23</v>
      </c>
    </row>
    <row r="195" spans="1:14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t="s">
        <v>14</v>
      </c>
      <c r="G195">
        <v>65</v>
      </c>
      <c r="H195" t="s">
        <v>21</v>
      </c>
      <c r="I195" t="s">
        <v>22</v>
      </c>
      <c r="J195">
        <v>1523163600</v>
      </c>
      <c r="K195">
        <v>1523509200</v>
      </c>
      <c r="L195" t="b">
        <v>1</v>
      </c>
      <c r="M195" t="b">
        <v>0</v>
      </c>
      <c r="N195" t="s">
        <v>60</v>
      </c>
    </row>
    <row r="196" spans="1:14" ht="17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t="s">
        <v>20</v>
      </c>
      <c r="G196">
        <v>126</v>
      </c>
      <c r="H196" t="s">
        <v>21</v>
      </c>
      <c r="I196" t="s">
        <v>22</v>
      </c>
      <c r="J196">
        <v>1442206800</v>
      </c>
      <c r="K196">
        <v>1443589200</v>
      </c>
      <c r="L196" t="b">
        <v>0</v>
      </c>
      <c r="M196" t="b">
        <v>0</v>
      </c>
      <c r="N196" t="s">
        <v>148</v>
      </c>
    </row>
    <row r="197" spans="1:14" ht="17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t="s">
        <v>20</v>
      </c>
      <c r="G197">
        <v>524</v>
      </c>
      <c r="H197" t="s">
        <v>21</v>
      </c>
      <c r="I197" t="s">
        <v>22</v>
      </c>
      <c r="J197">
        <v>1532840400</v>
      </c>
      <c r="K197">
        <v>1533445200</v>
      </c>
      <c r="L197" t="b">
        <v>0</v>
      </c>
      <c r="M197" t="b">
        <v>0</v>
      </c>
      <c r="N197" t="s">
        <v>50</v>
      </c>
    </row>
    <row r="198" spans="1:14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t="s">
        <v>14</v>
      </c>
      <c r="G198">
        <v>100</v>
      </c>
      <c r="H198" t="s">
        <v>36</v>
      </c>
      <c r="I198" t="s">
        <v>37</v>
      </c>
      <c r="J198">
        <v>1472878800</v>
      </c>
      <c r="K198">
        <v>1474520400</v>
      </c>
      <c r="L198" t="b">
        <v>0</v>
      </c>
      <c r="M198" t="b">
        <v>0</v>
      </c>
      <c r="N198" t="s">
        <v>65</v>
      </c>
    </row>
    <row r="199" spans="1:14" ht="17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t="s">
        <v>20</v>
      </c>
      <c r="G199">
        <v>1989</v>
      </c>
      <c r="H199" t="s">
        <v>21</v>
      </c>
      <c r="I199" t="s">
        <v>22</v>
      </c>
      <c r="J199">
        <v>1498194000</v>
      </c>
      <c r="K199">
        <v>1499403600</v>
      </c>
      <c r="L199" t="b">
        <v>0</v>
      </c>
      <c r="M199" t="b">
        <v>0</v>
      </c>
      <c r="N199" t="s">
        <v>53</v>
      </c>
    </row>
    <row r="200" spans="1:14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t="s">
        <v>14</v>
      </c>
      <c r="G200">
        <v>168</v>
      </c>
      <c r="H200" t="s">
        <v>21</v>
      </c>
      <c r="I200" t="s">
        <v>22</v>
      </c>
      <c r="J200">
        <v>1281070800</v>
      </c>
      <c r="K200">
        <v>1283576400</v>
      </c>
      <c r="L200" t="b">
        <v>0</v>
      </c>
      <c r="M200" t="b">
        <v>0</v>
      </c>
      <c r="N200" t="s">
        <v>50</v>
      </c>
    </row>
    <row r="201" spans="1:14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t="s">
        <v>14</v>
      </c>
      <c r="G201">
        <v>13</v>
      </c>
      <c r="H201" t="s">
        <v>21</v>
      </c>
      <c r="I201" t="s">
        <v>22</v>
      </c>
      <c r="J201">
        <v>1436245200</v>
      </c>
      <c r="K201">
        <v>1436590800</v>
      </c>
      <c r="L201" t="b">
        <v>0</v>
      </c>
      <c r="M201" t="b">
        <v>0</v>
      </c>
      <c r="N201" t="s">
        <v>23</v>
      </c>
    </row>
    <row r="202" spans="1:14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>
        <v>1270443600</v>
      </c>
      <c r="L202" t="b">
        <v>0</v>
      </c>
      <c r="M202" t="b">
        <v>0</v>
      </c>
      <c r="N202" t="s">
        <v>33</v>
      </c>
    </row>
    <row r="203" spans="1:14" ht="34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t="s">
        <v>20</v>
      </c>
      <c r="G203">
        <v>157</v>
      </c>
      <c r="H203" t="s">
        <v>21</v>
      </c>
      <c r="I203" t="s">
        <v>22</v>
      </c>
      <c r="J203">
        <v>1406264400</v>
      </c>
      <c r="K203">
        <v>1407819600</v>
      </c>
      <c r="L203" t="b">
        <v>0</v>
      </c>
      <c r="M203" t="b">
        <v>0</v>
      </c>
      <c r="N203" t="s">
        <v>28</v>
      </c>
    </row>
    <row r="204" spans="1:14" ht="17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t="s">
        <v>74</v>
      </c>
      <c r="G204">
        <v>82</v>
      </c>
      <c r="H204" t="s">
        <v>21</v>
      </c>
      <c r="I204" t="s">
        <v>22</v>
      </c>
      <c r="J204">
        <v>1317531600</v>
      </c>
      <c r="K204">
        <v>1317877200</v>
      </c>
      <c r="L204" t="b">
        <v>0</v>
      </c>
      <c r="M204" t="b">
        <v>0</v>
      </c>
      <c r="N204" t="s">
        <v>17</v>
      </c>
    </row>
    <row r="205" spans="1:14" ht="34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t="s">
        <v>20</v>
      </c>
      <c r="G205">
        <v>4498</v>
      </c>
      <c r="H205" t="s">
        <v>26</v>
      </c>
      <c r="I205" t="s">
        <v>27</v>
      </c>
      <c r="J205">
        <v>1484632800</v>
      </c>
      <c r="K205">
        <v>1484805600</v>
      </c>
      <c r="L205" t="b">
        <v>0</v>
      </c>
      <c r="M205" t="b">
        <v>0</v>
      </c>
      <c r="N205" t="s">
        <v>33</v>
      </c>
    </row>
    <row r="206" spans="1:14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t="s">
        <v>14</v>
      </c>
      <c r="G206">
        <v>40</v>
      </c>
      <c r="H206" t="s">
        <v>21</v>
      </c>
      <c r="I206" t="s">
        <v>22</v>
      </c>
      <c r="J206">
        <v>1301806800</v>
      </c>
      <c r="K206">
        <v>1302670800</v>
      </c>
      <c r="L206" t="b">
        <v>0</v>
      </c>
      <c r="M206" t="b">
        <v>0</v>
      </c>
      <c r="N206" t="s">
        <v>159</v>
      </c>
    </row>
    <row r="207" spans="1:14" ht="17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t="s">
        <v>20</v>
      </c>
      <c r="G207">
        <v>80</v>
      </c>
      <c r="H207" t="s">
        <v>21</v>
      </c>
      <c r="I207" t="s">
        <v>22</v>
      </c>
      <c r="J207">
        <v>1539752400</v>
      </c>
      <c r="K207">
        <v>1540789200</v>
      </c>
      <c r="L207" t="b">
        <v>1</v>
      </c>
      <c r="M207" t="b">
        <v>0</v>
      </c>
      <c r="N207" t="s">
        <v>33</v>
      </c>
    </row>
    <row r="208" spans="1:14" ht="17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t="s">
        <v>74</v>
      </c>
      <c r="G208">
        <v>57</v>
      </c>
      <c r="H208" t="s">
        <v>21</v>
      </c>
      <c r="I208" t="s">
        <v>22</v>
      </c>
      <c r="J208">
        <v>1267250400</v>
      </c>
      <c r="K208">
        <v>1268028000</v>
      </c>
      <c r="L208" t="b">
        <v>0</v>
      </c>
      <c r="M208" t="b">
        <v>0</v>
      </c>
      <c r="N208" t="s">
        <v>119</v>
      </c>
    </row>
    <row r="209" spans="1:14" ht="34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t="s">
        <v>20</v>
      </c>
      <c r="G209">
        <v>43</v>
      </c>
      <c r="H209" t="s">
        <v>21</v>
      </c>
      <c r="I209" t="s">
        <v>22</v>
      </c>
      <c r="J209">
        <v>1535432400</v>
      </c>
      <c r="K209">
        <v>1537160400</v>
      </c>
      <c r="L209" t="b">
        <v>0</v>
      </c>
      <c r="M209" t="b">
        <v>1</v>
      </c>
      <c r="N209" t="s">
        <v>23</v>
      </c>
    </row>
    <row r="210" spans="1:14" ht="17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t="s">
        <v>20</v>
      </c>
      <c r="G210">
        <v>2053</v>
      </c>
      <c r="H210" t="s">
        <v>21</v>
      </c>
      <c r="I210" t="s">
        <v>22</v>
      </c>
      <c r="J210">
        <v>1510207200</v>
      </c>
      <c r="K210">
        <v>1512280800</v>
      </c>
      <c r="L210" t="b">
        <v>0</v>
      </c>
      <c r="M210" t="b">
        <v>0</v>
      </c>
      <c r="N210" t="s">
        <v>42</v>
      </c>
    </row>
    <row r="211" spans="1:14" ht="17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t="s">
        <v>47</v>
      </c>
      <c r="G211">
        <v>808</v>
      </c>
      <c r="H211" t="s">
        <v>26</v>
      </c>
      <c r="I211" t="s">
        <v>27</v>
      </c>
      <c r="J211">
        <v>1462510800</v>
      </c>
      <c r="K211">
        <v>1463115600</v>
      </c>
      <c r="L211" t="b">
        <v>0</v>
      </c>
      <c r="M211" t="b">
        <v>0</v>
      </c>
      <c r="N211" t="s">
        <v>42</v>
      </c>
    </row>
    <row r="212" spans="1:14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t="s">
        <v>14</v>
      </c>
      <c r="G212">
        <v>226</v>
      </c>
      <c r="H212" t="s">
        <v>36</v>
      </c>
      <c r="I212" t="s">
        <v>37</v>
      </c>
      <c r="J212">
        <v>1488520800</v>
      </c>
      <c r="K212">
        <v>1490850000</v>
      </c>
      <c r="L212" t="b">
        <v>0</v>
      </c>
      <c r="M212" t="b">
        <v>0</v>
      </c>
      <c r="N212" t="s">
        <v>474</v>
      </c>
    </row>
    <row r="213" spans="1:14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t="s">
        <v>14</v>
      </c>
      <c r="G213">
        <v>1625</v>
      </c>
      <c r="H213" t="s">
        <v>21</v>
      </c>
      <c r="I213" t="s">
        <v>22</v>
      </c>
      <c r="J213">
        <v>1377579600</v>
      </c>
      <c r="K213">
        <v>1379653200</v>
      </c>
      <c r="L213" t="b">
        <v>0</v>
      </c>
      <c r="M213" t="b">
        <v>0</v>
      </c>
      <c r="N213" t="s">
        <v>33</v>
      </c>
    </row>
    <row r="214" spans="1:14" ht="34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t="s">
        <v>20</v>
      </c>
      <c r="G214">
        <v>168</v>
      </c>
      <c r="H214" t="s">
        <v>21</v>
      </c>
      <c r="I214" t="s">
        <v>22</v>
      </c>
      <c r="J214">
        <v>1576389600</v>
      </c>
      <c r="K214">
        <v>1580364000</v>
      </c>
      <c r="L214" t="b">
        <v>0</v>
      </c>
      <c r="M214" t="b">
        <v>0</v>
      </c>
      <c r="N214" t="s">
        <v>33</v>
      </c>
    </row>
    <row r="215" spans="1:14" ht="34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t="s">
        <v>20</v>
      </c>
      <c r="G215">
        <v>4289</v>
      </c>
      <c r="H215" t="s">
        <v>21</v>
      </c>
      <c r="I215" t="s">
        <v>22</v>
      </c>
      <c r="J215">
        <v>1289019600</v>
      </c>
      <c r="K215">
        <v>1289714400</v>
      </c>
      <c r="L215" t="b">
        <v>0</v>
      </c>
      <c r="M215" t="b">
        <v>1</v>
      </c>
      <c r="N215" t="s">
        <v>60</v>
      </c>
    </row>
    <row r="216" spans="1:14" ht="17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t="s">
        <v>20</v>
      </c>
      <c r="G216">
        <v>165</v>
      </c>
      <c r="H216" t="s">
        <v>21</v>
      </c>
      <c r="I216" t="s">
        <v>22</v>
      </c>
      <c r="J216">
        <v>1282194000</v>
      </c>
      <c r="K216">
        <v>1282712400</v>
      </c>
      <c r="L216" t="b">
        <v>0</v>
      </c>
      <c r="M216" t="b">
        <v>0</v>
      </c>
      <c r="N216" t="s">
        <v>23</v>
      </c>
    </row>
    <row r="217" spans="1:14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t="s">
        <v>14</v>
      </c>
      <c r="G217">
        <v>143</v>
      </c>
      <c r="H217" t="s">
        <v>21</v>
      </c>
      <c r="I217" t="s">
        <v>22</v>
      </c>
      <c r="J217">
        <v>1550037600</v>
      </c>
      <c r="K217">
        <v>1550210400</v>
      </c>
      <c r="L217" t="b">
        <v>0</v>
      </c>
      <c r="M217" t="b">
        <v>0</v>
      </c>
      <c r="N217" t="s">
        <v>33</v>
      </c>
    </row>
    <row r="218" spans="1:14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t="s">
        <v>20</v>
      </c>
      <c r="G218">
        <v>1815</v>
      </c>
      <c r="H218" t="s">
        <v>21</v>
      </c>
      <c r="I218" t="s">
        <v>22</v>
      </c>
      <c r="J218">
        <v>1321941600</v>
      </c>
      <c r="K218">
        <v>1322114400</v>
      </c>
      <c r="L218" t="b">
        <v>0</v>
      </c>
      <c r="M218" t="b">
        <v>0</v>
      </c>
      <c r="N218" t="s">
        <v>33</v>
      </c>
    </row>
    <row r="219" spans="1:14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t="s">
        <v>14</v>
      </c>
      <c r="G219">
        <v>934</v>
      </c>
      <c r="H219" t="s">
        <v>21</v>
      </c>
      <c r="I219" t="s">
        <v>22</v>
      </c>
      <c r="J219">
        <v>1556427600</v>
      </c>
      <c r="K219">
        <v>1557205200</v>
      </c>
      <c r="L219" t="b">
        <v>0</v>
      </c>
      <c r="M219" t="b">
        <v>0</v>
      </c>
      <c r="N219" t="s">
        <v>474</v>
      </c>
    </row>
    <row r="220" spans="1:14" ht="17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t="s">
        <v>20</v>
      </c>
      <c r="G220">
        <v>397</v>
      </c>
      <c r="H220" t="s">
        <v>40</v>
      </c>
      <c r="I220" t="s">
        <v>41</v>
      </c>
      <c r="J220">
        <v>1320991200</v>
      </c>
      <c r="K220">
        <v>1323928800</v>
      </c>
      <c r="L220" t="b">
        <v>0</v>
      </c>
      <c r="M220" t="b">
        <v>1</v>
      </c>
      <c r="N220" t="s">
        <v>100</v>
      </c>
    </row>
    <row r="221" spans="1:14" ht="17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t="s">
        <v>20</v>
      </c>
      <c r="G221">
        <v>1539</v>
      </c>
      <c r="H221" t="s">
        <v>21</v>
      </c>
      <c r="I221" t="s">
        <v>22</v>
      </c>
      <c r="J221">
        <v>1345093200</v>
      </c>
      <c r="K221">
        <v>1346130000</v>
      </c>
      <c r="L221" t="b">
        <v>0</v>
      </c>
      <c r="M221" t="b">
        <v>0</v>
      </c>
      <c r="N221" t="s">
        <v>71</v>
      </c>
    </row>
    <row r="222" spans="1:14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t="s">
        <v>14</v>
      </c>
      <c r="G222">
        <v>17</v>
      </c>
      <c r="H222" t="s">
        <v>21</v>
      </c>
      <c r="I222" t="s">
        <v>22</v>
      </c>
      <c r="J222">
        <v>1309496400</v>
      </c>
      <c r="K222">
        <v>1311051600</v>
      </c>
      <c r="L222" t="b">
        <v>1</v>
      </c>
      <c r="M222" t="b">
        <v>0</v>
      </c>
      <c r="N222" t="s">
        <v>33</v>
      </c>
    </row>
    <row r="223" spans="1:14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t="s">
        <v>14</v>
      </c>
      <c r="G223">
        <v>2179</v>
      </c>
      <c r="H223" t="s">
        <v>21</v>
      </c>
      <c r="I223" t="s">
        <v>22</v>
      </c>
      <c r="J223">
        <v>1340254800</v>
      </c>
      <c r="K223">
        <v>1340427600</v>
      </c>
      <c r="L223" t="b">
        <v>1</v>
      </c>
      <c r="M223" t="b">
        <v>0</v>
      </c>
      <c r="N223" t="s">
        <v>17</v>
      </c>
    </row>
    <row r="224" spans="1:14" ht="17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t="s">
        <v>20</v>
      </c>
      <c r="G224">
        <v>138</v>
      </c>
      <c r="H224" t="s">
        <v>21</v>
      </c>
      <c r="I224" t="s">
        <v>22</v>
      </c>
      <c r="J224">
        <v>1412226000</v>
      </c>
      <c r="K224">
        <v>1412312400</v>
      </c>
      <c r="L224" t="b">
        <v>0</v>
      </c>
      <c r="M224" t="b">
        <v>0</v>
      </c>
      <c r="N224" t="s">
        <v>122</v>
      </c>
    </row>
    <row r="225" spans="1:14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t="s">
        <v>14</v>
      </c>
      <c r="G225">
        <v>931</v>
      </c>
      <c r="H225" t="s">
        <v>21</v>
      </c>
      <c r="I225" t="s">
        <v>22</v>
      </c>
      <c r="J225">
        <v>1458104400</v>
      </c>
      <c r="K225">
        <v>1459314000</v>
      </c>
      <c r="L225" t="b">
        <v>0</v>
      </c>
      <c r="M225" t="b">
        <v>0</v>
      </c>
      <c r="N225" t="s">
        <v>33</v>
      </c>
    </row>
    <row r="226" spans="1:14" ht="17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t="s">
        <v>20</v>
      </c>
      <c r="G226">
        <v>3594</v>
      </c>
      <c r="H226" t="s">
        <v>21</v>
      </c>
      <c r="I226" t="s">
        <v>22</v>
      </c>
      <c r="J226">
        <v>1411534800</v>
      </c>
      <c r="K226">
        <v>1415426400</v>
      </c>
      <c r="L226" t="b">
        <v>0</v>
      </c>
      <c r="M226" t="b">
        <v>0</v>
      </c>
      <c r="N226" t="s">
        <v>474</v>
      </c>
    </row>
    <row r="227" spans="1:14" ht="17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t="s">
        <v>20</v>
      </c>
      <c r="G227">
        <v>5880</v>
      </c>
      <c r="H227" t="s">
        <v>21</v>
      </c>
      <c r="I227" t="s">
        <v>22</v>
      </c>
      <c r="J227">
        <v>1399093200</v>
      </c>
      <c r="K227">
        <v>1399093200</v>
      </c>
      <c r="L227" t="b">
        <v>1</v>
      </c>
      <c r="M227" t="b">
        <v>0</v>
      </c>
      <c r="N227" t="s">
        <v>23</v>
      </c>
    </row>
    <row r="228" spans="1:14" ht="17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t="s">
        <v>20</v>
      </c>
      <c r="G228">
        <v>112</v>
      </c>
      <c r="H228" t="s">
        <v>21</v>
      </c>
      <c r="I228" t="s">
        <v>22</v>
      </c>
      <c r="J228">
        <v>1270702800</v>
      </c>
      <c r="K228">
        <v>1273899600</v>
      </c>
      <c r="L228" t="b">
        <v>0</v>
      </c>
      <c r="M228" t="b">
        <v>0</v>
      </c>
      <c r="N228" t="s">
        <v>122</v>
      </c>
    </row>
    <row r="229" spans="1:14" ht="17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t="s">
        <v>20</v>
      </c>
      <c r="G229">
        <v>943</v>
      </c>
      <c r="H229" t="s">
        <v>21</v>
      </c>
      <c r="I229" t="s">
        <v>22</v>
      </c>
      <c r="J229">
        <v>1431666000</v>
      </c>
      <c r="K229">
        <v>1432184400</v>
      </c>
      <c r="L229" t="b">
        <v>0</v>
      </c>
      <c r="M229" t="b">
        <v>0</v>
      </c>
      <c r="N229" t="s">
        <v>292</v>
      </c>
    </row>
    <row r="230" spans="1:14" ht="17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t="s">
        <v>20</v>
      </c>
      <c r="G230">
        <v>2468</v>
      </c>
      <c r="H230" t="s">
        <v>21</v>
      </c>
      <c r="I230" t="s">
        <v>22</v>
      </c>
      <c r="J230">
        <v>1472619600</v>
      </c>
      <c r="K230">
        <v>1474779600</v>
      </c>
      <c r="L230" t="b">
        <v>0</v>
      </c>
      <c r="M230" t="b">
        <v>0</v>
      </c>
      <c r="N230" t="s">
        <v>71</v>
      </c>
    </row>
    <row r="231" spans="1:14" ht="17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t="s">
        <v>20</v>
      </c>
      <c r="G231">
        <v>2551</v>
      </c>
      <c r="H231" t="s">
        <v>21</v>
      </c>
      <c r="I231" t="s">
        <v>22</v>
      </c>
      <c r="J231">
        <v>1496293200</v>
      </c>
      <c r="K231">
        <v>1500440400</v>
      </c>
      <c r="L231" t="b">
        <v>0</v>
      </c>
      <c r="M231" t="b">
        <v>1</v>
      </c>
      <c r="N231" t="s">
        <v>292</v>
      </c>
    </row>
    <row r="232" spans="1:14" ht="17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t="s">
        <v>20</v>
      </c>
      <c r="G232">
        <v>101</v>
      </c>
      <c r="H232" t="s">
        <v>21</v>
      </c>
      <c r="I232" t="s">
        <v>22</v>
      </c>
      <c r="J232">
        <v>1575612000</v>
      </c>
      <c r="K232">
        <v>1575612000</v>
      </c>
      <c r="L232" t="b">
        <v>0</v>
      </c>
      <c r="M232" t="b">
        <v>0</v>
      </c>
      <c r="N232" t="s">
        <v>89</v>
      </c>
    </row>
    <row r="233" spans="1:14" ht="17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t="s">
        <v>74</v>
      </c>
      <c r="G233">
        <v>67</v>
      </c>
      <c r="H233" t="s">
        <v>21</v>
      </c>
      <c r="I233" t="s">
        <v>22</v>
      </c>
      <c r="J233">
        <v>1369112400</v>
      </c>
      <c r="K233">
        <v>1374123600</v>
      </c>
      <c r="L233" t="b">
        <v>0</v>
      </c>
      <c r="M233" t="b">
        <v>0</v>
      </c>
      <c r="N233" t="s">
        <v>33</v>
      </c>
    </row>
    <row r="234" spans="1:14" ht="17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t="s">
        <v>20</v>
      </c>
      <c r="G234">
        <v>92</v>
      </c>
      <c r="H234" t="s">
        <v>21</v>
      </c>
      <c r="I234" t="s">
        <v>22</v>
      </c>
      <c r="J234">
        <v>1469422800</v>
      </c>
      <c r="K234">
        <v>1469509200</v>
      </c>
      <c r="L234" t="b">
        <v>0</v>
      </c>
      <c r="M234" t="b">
        <v>0</v>
      </c>
      <c r="N234" t="s">
        <v>33</v>
      </c>
    </row>
    <row r="235" spans="1:14" ht="17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t="s">
        <v>20</v>
      </c>
      <c r="G235">
        <v>62</v>
      </c>
      <c r="H235" t="s">
        <v>21</v>
      </c>
      <c r="I235" t="s">
        <v>22</v>
      </c>
      <c r="J235">
        <v>1307854800</v>
      </c>
      <c r="K235">
        <v>1309237200</v>
      </c>
      <c r="L235" t="b">
        <v>0</v>
      </c>
      <c r="M235" t="b">
        <v>0</v>
      </c>
      <c r="N235" t="s">
        <v>71</v>
      </c>
    </row>
    <row r="236" spans="1:14" ht="17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t="s">
        <v>20</v>
      </c>
      <c r="G236">
        <v>149</v>
      </c>
      <c r="H236" t="s">
        <v>107</v>
      </c>
      <c r="I236" t="s">
        <v>108</v>
      </c>
      <c r="J236">
        <v>1503378000</v>
      </c>
      <c r="K236">
        <v>1503982800</v>
      </c>
      <c r="L236" t="b">
        <v>0</v>
      </c>
      <c r="M236" t="b">
        <v>1</v>
      </c>
      <c r="N236" t="s">
        <v>89</v>
      </c>
    </row>
    <row r="237" spans="1:14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t="s">
        <v>14</v>
      </c>
      <c r="G237">
        <v>92</v>
      </c>
      <c r="H237" t="s">
        <v>21</v>
      </c>
      <c r="I237" t="s">
        <v>22</v>
      </c>
      <c r="J237">
        <v>1486965600</v>
      </c>
      <c r="K237">
        <v>1487397600</v>
      </c>
      <c r="L237" t="b">
        <v>0</v>
      </c>
      <c r="M237" t="b">
        <v>0</v>
      </c>
      <c r="N237" t="s">
        <v>71</v>
      </c>
    </row>
    <row r="238" spans="1:14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t="s">
        <v>14</v>
      </c>
      <c r="G238">
        <v>57</v>
      </c>
      <c r="H238" t="s">
        <v>26</v>
      </c>
      <c r="I238" t="s">
        <v>27</v>
      </c>
      <c r="J238">
        <v>1561438800</v>
      </c>
      <c r="K238">
        <v>1562043600</v>
      </c>
      <c r="L238" t="b">
        <v>0</v>
      </c>
      <c r="M238" t="b">
        <v>1</v>
      </c>
      <c r="N238" t="s">
        <v>23</v>
      </c>
    </row>
    <row r="239" spans="1:14" ht="34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t="s">
        <v>20</v>
      </c>
      <c r="G239">
        <v>329</v>
      </c>
      <c r="H239" t="s">
        <v>21</v>
      </c>
      <c r="I239" t="s">
        <v>22</v>
      </c>
      <c r="J239">
        <v>1398402000</v>
      </c>
      <c r="K239">
        <v>1398574800</v>
      </c>
      <c r="L239" t="b">
        <v>0</v>
      </c>
      <c r="M239" t="b">
        <v>0</v>
      </c>
      <c r="N239" t="s">
        <v>71</v>
      </c>
    </row>
    <row r="240" spans="1:14" ht="17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t="s">
        <v>20</v>
      </c>
      <c r="G240">
        <v>97</v>
      </c>
      <c r="H240" t="s">
        <v>36</v>
      </c>
      <c r="I240" t="s">
        <v>37</v>
      </c>
      <c r="J240">
        <v>1513231200</v>
      </c>
      <c r="K240">
        <v>1515391200</v>
      </c>
      <c r="L240" t="b">
        <v>0</v>
      </c>
      <c r="M240" t="b">
        <v>1</v>
      </c>
      <c r="N240" t="s">
        <v>33</v>
      </c>
    </row>
    <row r="241" spans="1:14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t="s">
        <v>14</v>
      </c>
      <c r="G241">
        <v>41</v>
      </c>
      <c r="H241" t="s">
        <v>21</v>
      </c>
      <c r="I241" t="s">
        <v>22</v>
      </c>
      <c r="J241">
        <v>1440824400</v>
      </c>
      <c r="K241">
        <v>1441170000</v>
      </c>
      <c r="L241" t="b">
        <v>0</v>
      </c>
      <c r="M241" t="b">
        <v>0</v>
      </c>
      <c r="N241" t="s">
        <v>65</v>
      </c>
    </row>
    <row r="242" spans="1:14" ht="17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t="s">
        <v>20</v>
      </c>
      <c r="G242">
        <v>1784</v>
      </c>
      <c r="H242" t="s">
        <v>21</v>
      </c>
      <c r="I242" t="s">
        <v>22</v>
      </c>
      <c r="J242">
        <v>1281070800</v>
      </c>
      <c r="K242">
        <v>1281157200</v>
      </c>
      <c r="L242" t="b">
        <v>0</v>
      </c>
      <c r="M242" t="b">
        <v>0</v>
      </c>
      <c r="N242" t="s">
        <v>33</v>
      </c>
    </row>
    <row r="243" spans="1:14" ht="17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t="s">
        <v>20</v>
      </c>
      <c r="G243">
        <v>1684</v>
      </c>
      <c r="H243" t="s">
        <v>26</v>
      </c>
      <c r="I243" t="s">
        <v>27</v>
      </c>
      <c r="J243">
        <v>1397365200</v>
      </c>
      <c r="K243">
        <v>1398229200</v>
      </c>
      <c r="L243" t="b">
        <v>0</v>
      </c>
      <c r="M243" t="b">
        <v>1</v>
      </c>
      <c r="N243" t="s">
        <v>68</v>
      </c>
    </row>
    <row r="244" spans="1:14" ht="17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t="s">
        <v>20</v>
      </c>
      <c r="G244">
        <v>250</v>
      </c>
      <c r="H244" t="s">
        <v>21</v>
      </c>
      <c r="I244" t="s">
        <v>22</v>
      </c>
      <c r="J244">
        <v>1494392400</v>
      </c>
      <c r="K244">
        <v>1495256400</v>
      </c>
      <c r="L244" t="b">
        <v>0</v>
      </c>
      <c r="M244" t="b">
        <v>1</v>
      </c>
      <c r="N244" t="s">
        <v>23</v>
      </c>
    </row>
    <row r="245" spans="1:14" ht="34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t="s">
        <v>20</v>
      </c>
      <c r="G245">
        <v>238</v>
      </c>
      <c r="H245" t="s">
        <v>21</v>
      </c>
      <c r="I245" t="s">
        <v>22</v>
      </c>
      <c r="J245">
        <v>1520143200</v>
      </c>
      <c r="K245">
        <v>1520402400</v>
      </c>
      <c r="L245" t="b">
        <v>0</v>
      </c>
      <c r="M245" t="b">
        <v>0</v>
      </c>
      <c r="N245" t="s">
        <v>33</v>
      </c>
    </row>
    <row r="246" spans="1:14" ht="34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t="s">
        <v>20</v>
      </c>
      <c r="G246">
        <v>53</v>
      </c>
      <c r="H246" t="s">
        <v>21</v>
      </c>
      <c r="I246" t="s">
        <v>22</v>
      </c>
      <c r="J246">
        <v>1405314000</v>
      </c>
      <c r="K246">
        <v>1409806800</v>
      </c>
      <c r="L246" t="b">
        <v>0</v>
      </c>
      <c r="M246" t="b">
        <v>0</v>
      </c>
      <c r="N246" t="s">
        <v>33</v>
      </c>
    </row>
    <row r="247" spans="1:14" ht="17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t="s">
        <v>20</v>
      </c>
      <c r="G247">
        <v>214</v>
      </c>
      <c r="H247" t="s">
        <v>21</v>
      </c>
      <c r="I247" t="s">
        <v>22</v>
      </c>
      <c r="J247">
        <v>1396846800</v>
      </c>
      <c r="K247">
        <v>1396933200</v>
      </c>
      <c r="L247" t="b">
        <v>0</v>
      </c>
      <c r="M247" t="b">
        <v>0</v>
      </c>
      <c r="N247" t="s">
        <v>33</v>
      </c>
    </row>
    <row r="248" spans="1:14" ht="17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t="s">
        <v>20</v>
      </c>
      <c r="G248">
        <v>222</v>
      </c>
      <c r="H248" t="s">
        <v>21</v>
      </c>
      <c r="I248" t="s">
        <v>22</v>
      </c>
      <c r="J248">
        <v>1375678800</v>
      </c>
      <c r="K248">
        <v>1376024400</v>
      </c>
      <c r="L248" t="b">
        <v>0</v>
      </c>
      <c r="M248" t="b">
        <v>0</v>
      </c>
      <c r="N248" t="s">
        <v>28</v>
      </c>
    </row>
    <row r="249" spans="1:14" ht="17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t="s">
        <v>20</v>
      </c>
      <c r="G249">
        <v>1884</v>
      </c>
      <c r="H249" t="s">
        <v>21</v>
      </c>
      <c r="I249" t="s">
        <v>22</v>
      </c>
      <c r="J249">
        <v>1482386400</v>
      </c>
      <c r="K249">
        <v>1483682400</v>
      </c>
      <c r="L249" t="b">
        <v>0</v>
      </c>
      <c r="M249" t="b">
        <v>1</v>
      </c>
      <c r="N249" t="s">
        <v>119</v>
      </c>
    </row>
    <row r="250" spans="1:14" ht="17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t="s">
        <v>20</v>
      </c>
      <c r="G250">
        <v>218</v>
      </c>
      <c r="H250" t="s">
        <v>26</v>
      </c>
      <c r="I250" t="s">
        <v>27</v>
      </c>
      <c r="J250">
        <v>1420005600</v>
      </c>
      <c r="K250">
        <v>1420437600</v>
      </c>
      <c r="L250" t="b">
        <v>0</v>
      </c>
      <c r="M250" t="b">
        <v>0</v>
      </c>
      <c r="N250" t="s">
        <v>292</v>
      </c>
    </row>
    <row r="251" spans="1:14" ht="17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t="s">
        <v>20</v>
      </c>
      <c r="G251">
        <v>6465</v>
      </c>
      <c r="H251" t="s">
        <v>21</v>
      </c>
      <c r="I251" t="s">
        <v>22</v>
      </c>
      <c r="J251">
        <v>1420178400</v>
      </c>
      <c r="K251">
        <v>1420783200</v>
      </c>
      <c r="L251" t="b">
        <v>0</v>
      </c>
      <c r="M251" t="b">
        <v>0</v>
      </c>
      <c r="N251" t="s">
        <v>206</v>
      </c>
    </row>
    <row r="252" spans="1:14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t="s">
        <v>14</v>
      </c>
      <c r="G252">
        <v>1</v>
      </c>
      <c r="H252" t="s">
        <v>21</v>
      </c>
      <c r="I252" t="s">
        <v>22</v>
      </c>
      <c r="J252">
        <v>1264399200</v>
      </c>
      <c r="K252">
        <v>1267423200</v>
      </c>
      <c r="L252" t="b">
        <v>0</v>
      </c>
      <c r="M252" t="b">
        <v>0</v>
      </c>
      <c r="N252" t="s">
        <v>23</v>
      </c>
    </row>
    <row r="253" spans="1:14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t="s">
        <v>14</v>
      </c>
      <c r="G253">
        <v>101</v>
      </c>
      <c r="H253" t="s">
        <v>21</v>
      </c>
      <c r="I253" t="s">
        <v>22</v>
      </c>
      <c r="J253">
        <v>1355032800</v>
      </c>
      <c r="K253">
        <v>1355205600</v>
      </c>
      <c r="L253" t="b">
        <v>0</v>
      </c>
      <c r="M253" t="b">
        <v>0</v>
      </c>
      <c r="N253" t="s">
        <v>33</v>
      </c>
    </row>
    <row r="254" spans="1:14" ht="34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t="s">
        <v>20</v>
      </c>
      <c r="G254">
        <v>59</v>
      </c>
      <c r="H254" t="s">
        <v>21</v>
      </c>
      <c r="I254" t="s">
        <v>22</v>
      </c>
      <c r="J254">
        <v>1382677200</v>
      </c>
      <c r="K254">
        <v>1383109200</v>
      </c>
      <c r="L254" t="b">
        <v>0</v>
      </c>
      <c r="M254" t="b">
        <v>0</v>
      </c>
      <c r="N254" t="s">
        <v>33</v>
      </c>
    </row>
    <row r="255" spans="1:14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>
        <v>1303275600</v>
      </c>
      <c r="L255" t="b">
        <v>0</v>
      </c>
      <c r="M255" t="b">
        <v>0</v>
      </c>
      <c r="N255" t="s">
        <v>53</v>
      </c>
    </row>
    <row r="256" spans="1:14" ht="34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t="s">
        <v>20</v>
      </c>
      <c r="G256">
        <v>88</v>
      </c>
      <c r="H256" t="s">
        <v>21</v>
      </c>
      <c r="I256" t="s">
        <v>22</v>
      </c>
      <c r="J256">
        <v>1487656800</v>
      </c>
      <c r="K256">
        <v>1487829600</v>
      </c>
      <c r="L256" t="b">
        <v>0</v>
      </c>
      <c r="M256" t="b">
        <v>0</v>
      </c>
      <c r="N256" t="s">
        <v>68</v>
      </c>
    </row>
    <row r="257" spans="1:14" ht="34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t="s">
        <v>20</v>
      </c>
      <c r="G257">
        <v>1697</v>
      </c>
      <c r="H257" t="s">
        <v>21</v>
      </c>
      <c r="I257" t="s">
        <v>22</v>
      </c>
      <c r="J257">
        <v>1297836000</v>
      </c>
      <c r="K257">
        <v>1298268000</v>
      </c>
      <c r="L257" t="b">
        <v>0</v>
      </c>
      <c r="M257" t="b">
        <v>1</v>
      </c>
      <c r="N257" t="s">
        <v>23</v>
      </c>
    </row>
    <row r="258" spans="1:14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t="s">
        <v>14</v>
      </c>
      <c r="G258">
        <v>15</v>
      </c>
      <c r="H258" t="s">
        <v>40</v>
      </c>
      <c r="I258" t="s">
        <v>41</v>
      </c>
      <c r="J258">
        <v>1453615200</v>
      </c>
      <c r="K258">
        <v>1456812000</v>
      </c>
      <c r="L258" t="b">
        <v>0</v>
      </c>
      <c r="M258" t="b">
        <v>0</v>
      </c>
      <c r="N258" t="s">
        <v>23</v>
      </c>
    </row>
    <row r="259" spans="1:14" ht="17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t="s">
        <v>20</v>
      </c>
      <c r="G259">
        <v>92</v>
      </c>
      <c r="H259" t="s">
        <v>21</v>
      </c>
      <c r="I259" t="s">
        <v>22</v>
      </c>
      <c r="J259">
        <v>1362463200</v>
      </c>
      <c r="K259">
        <v>1363669200</v>
      </c>
      <c r="L259" t="b">
        <v>0</v>
      </c>
      <c r="M259" t="b">
        <v>0</v>
      </c>
      <c r="N259" t="s">
        <v>33</v>
      </c>
    </row>
    <row r="260" spans="1:14" ht="17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t="s">
        <v>20</v>
      </c>
      <c r="G260">
        <v>186</v>
      </c>
      <c r="H260" t="s">
        <v>21</v>
      </c>
      <c r="I260" t="s">
        <v>22</v>
      </c>
      <c r="J260">
        <v>1481176800</v>
      </c>
      <c r="K260">
        <v>1482904800</v>
      </c>
      <c r="L260" t="b">
        <v>0</v>
      </c>
      <c r="M260" t="b">
        <v>1</v>
      </c>
      <c r="N260" t="s">
        <v>33</v>
      </c>
    </row>
    <row r="261" spans="1:14" ht="34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t="s">
        <v>20</v>
      </c>
      <c r="G261">
        <v>138</v>
      </c>
      <c r="H261" t="s">
        <v>21</v>
      </c>
      <c r="I261" t="s">
        <v>22</v>
      </c>
      <c r="J261">
        <v>1354946400</v>
      </c>
      <c r="K261">
        <v>1356588000</v>
      </c>
      <c r="L261" t="b">
        <v>1</v>
      </c>
      <c r="M261" t="b">
        <v>0</v>
      </c>
      <c r="N261" t="s">
        <v>122</v>
      </c>
    </row>
    <row r="262" spans="1:14" ht="17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t="s">
        <v>20</v>
      </c>
      <c r="G262">
        <v>261</v>
      </c>
      <c r="H262" t="s">
        <v>21</v>
      </c>
      <c r="I262" t="s">
        <v>22</v>
      </c>
      <c r="J262">
        <v>1348808400</v>
      </c>
      <c r="K262">
        <v>1349845200</v>
      </c>
      <c r="L262" t="b">
        <v>0</v>
      </c>
      <c r="M262" t="b">
        <v>0</v>
      </c>
      <c r="N262" t="s">
        <v>23</v>
      </c>
    </row>
    <row r="263" spans="1:14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t="s">
        <v>14</v>
      </c>
      <c r="G263">
        <v>454</v>
      </c>
      <c r="H263" t="s">
        <v>21</v>
      </c>
      <c r="I263" t="s">
        <v>22</v>
      </c>
      <c r="J263">
        <v>1282712400</v>
      </c>
      <c r="K263">
        <v>1283058000</v>
      </c>
      <c r="L263" t="b">
        <v>0</v>
      </c>
      <c r="M263" t="b">
        <v>1</v>
      </c>
      <c r="N263" t="s">
        <v>23</v>
      </c>
    </row>
    <row r="264" spans="1:14" ht="17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t="s">
        <v>20</v>
      </c>
      <c r="G264">
        <v>107</v>
      </c>
      <c r="H264" t="s">
        <v>21</v>
      </c>
      <c r="I264" t="s">
        <v>22</v>
      </c>
      <c r="J264">
        <v>1301979600</v>
      </c>
      <c r="K264">
        <v>1304226000</v>
      </c>
      <c r="L264" t="b">
        <v>0</v>
      </c>
      <c r="M264" t="b">
        <v>1</v>
      </c>
      <c r="N264" t="s">
        <v>60</v>
      </c>
    </row>
    <row r="265" spans="1:14" ht="17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t="s">
        <v>20</v>
      </c>
      <c r="G265">
        <v>199</v>
      </c>
      <c r="H265" t="s">
        <v>21</v>
      </c>
      <c r="I265" t="s">
        <v>22</v>
      </c>
      <c r="J265">
        <v>1263016800</v>
      </c>
      <c r="K265">
        <v>1263016800</v>
      </c>
      <c r="L265" t="b">
        <v>0</v>
      </c>
      <c r="M265" t="b">
        <v>0</v>
      </c>
      <c r="N265" t="s">
        <v>122</v>
      </c>
    </row>
    <row r="266" spans="1:14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t="s">
        <v>20</v>
      </c>
      <c r="G266">
        <v>5512</v>
      </c>
      <c r="H266" t="s">
        <v>21</v>
      </c>
      <c r="I266" t="s">
        <v>22</v>
      </c>
      <c r="J266">
        <v>1360648800</v>
      </c>
      <c r="K266">
        <v>1362031200</v>
      </c>
      <c r="L266" t="b">
        <v>0</v>
      </c>
      <c r="M266" t="b">
        <v>0</v>
      </c>
      <c r="N266" t="s">
        <v>33</v>
      </c>
    </row>
    <row r="267" spans="1:14" ht="17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t="s">
        <v>20</v>
      </c>
      <c r="G267">
        <v>86</v>
      </c>
      <c r="H267" t="s">
        <v>21</v>
      </c>
      <c r="I267" t="s">
        <v>22</v>
      </c>
      <c r="J267">
        <v>1451800800</v>
      </c>
      <c r="K267">
        <v>1455602400</v>
      </c>
      <c r="L267" t="b">
        <v>0</v>
      </c>
      <c r="M267" t="b">
        <v>0</v>
      </c>
      <c r="N267" t="s">
        <v>33</v>
      </c>
    </row>
    <row r="268" spans="1:14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t="s">
        <v>14</v>
      </c>
      <c r="G268">
        <v>3182</v>
      </c>
      <c r="H268" t="s">
        <v>107</v>
      </c>
      <c r="I268" t="s">
        <v>108</v>
      </c>
      <c r="J268">
        <v>1415340000</v>
      </c>
      <c r="K268">
        <v>1418191200</v>
      </c>
      <c r="L268" t="b">
        <v>0</v>
      </c>
      <c r="M268" t="b">
        <v>1</v>
      </c>
      <c r="N268" t="s">
        <v>159</v>
      </c>
    </row>
    <row r="269" spans="1:14" ht="17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t="s">
        <v>20</v>
      </c>
      <c r="G269">
        <v>2768</v>
      </c>
      <c r="H269" t="s">
        <v>26</v>
      </c>
      <c r="I269" t="s">
        <v>27</v>
      </c>
      <c r="J269">
        <v>1351054800</v>
      </c>
      <c r="K269">
        <v>1352440800</v>
      </c>
      <c r="L269" t="b">
        <v>0</v>
      </c>
      <c r="M269" t="b">
        <v>0</v>
      </c>
      <c r="N269" t="s">
        <v>33</v>
      </c>
    </row>
    <row r="270" spans="1:14" ht="17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t="s">
        <v>20</v>
      </c>
      <c r="G270">
        <v>48</v>
      </c>
      <c r="H270" t="s">
        <v>21</v>
      </c>
      <c r="I270" t="s">
        <v>22</v>
      </c>
      <c r="J270">
        <v>1349326800</v>
      </c>
      <c r="K270">
        <v>1353304800</v>
      </c>
      <c r="L270" t="b">
        <v>0</v>
      </c>
      <c r="M270" t="b">
        <v>0</v>
      </c>
      <c r="N270" t="s">
        <v>42</v>
      </c>
    </row>
    <row r="271" spans="1:14" ht="17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t="s">
        <v>20</v>
      </c>
      <c r="G271">
        <v>87</v>
      </c>
      <c r="H271" t="s">
        <v>21</v>
      </c>
      <c r="I271" t="s">
        <v>22</v>
      </c>
      <c r="J271">
        <v>1548914400</v>
      </c>
      <c r="K271">
        <v>1550728800</v>
      </c>
      <c r="L271" t="b">
        <v>0</v>
      </c>
      <c r="M271" t="b">
        <v>0</v>
      </c>
      <c r="N271" t="s">
        <v>269</v>
      </c>
    </row>
    <row r="272" spans="1:14" ht="17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t="s">
        <v>74</v>
      </c>
      <c r="G272">
        <v>1890</v>
      </c>
      <c r="H272" t="s">
        <v>21</v>
      </c>
      <c r="I272" t="s">
        <v>22</v>
      </c>
      <c r="J272">
        <v>1291269600</v>
      </c>
      <c r="K272">
        <v>1291442400</v>
      </c>
      <c r="L272" t="b">
        <v>0</v>
      </c>
      <c r="M272" t="b">
        <v>0</v>
      </c>
      <c r="N272" t="s">
        <v>89</v>
      </c>
    </row>
    <row r="273" spans="1:14" ht="34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t="s">
        <v>47</v>
      </c>
      <c r="G273">
        <v>61</v>
      </c>
      <c r="H273" t="s">
        <v>21</v>
      </c>
      <c r="I273" t="s">
        <v>22</v>
      </c>
      <c r="J273">
        <v>1449468000</v>
      </c>
      <c r="K273">
        <v>1452146400</v>
      </c>
      <c r="L273" t="b">
        <v>0</v>
      </c>
      <c r="M273" t="b">
        <v>0</v>
      </c>
      <c r="N273" t="s">
        <v>122</v>
      </c>
    </row>
    <row r="274" spans="1:14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t="s">
        <v>20</v>
      </c>
      <c r="G274">
        <v>1894</v>
      </c>
      <c r="H274" t="s">
        <v>21</v>
      </c>
      <c r="I274" t="s">
        <v>22</v>
      </c>
      <c r="J274">
        <v>1562734800</v>
      </c>
      <c r="K274">
        <v>1564894800</v>
      </c>
      <c r="L274" t="b">
        <v>0</v>
      </c>
      <c r="M274" t="b">
        <v>1</v>
      </c>
      <c r="N274" t="s">
        <v>33</v>
      </c>
    </row>
    <row r="275" spans="1:14" ht="17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t="s">
        <v>20</v>
      </c>
      <c r="G275">
        <v>282</v>
      </c>
      <c r="H275" t="s">
        <v>15</v>
      </c>
      <c r="I275" t="s">
        <v>16</v>
      </c>
      <c r="J275">
        <v>1505624400</v>
      </c>
      <c r="K275">
        <v>1505883600</v>
      </c>
      <c r="L275" t="b">
        <v>0</v>
      </c>
      <c r="M275" t="b">
        <v>0</v>
      </c>
      <c r="N275" t="s">
        <v>33</v>
      </c>
    </row>
    <row r="276" spans="1:14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t="s">
        <v>14</v>
      </c>
      <c r="G276">
        <v>15</v>
      </c>
      <c r="H276" t="s">
        <v>21</v>
      </c>
      <c r="I276" t="s">
        <v>22</v>
      </c>
      <c r="J276">
        <v>1509948000</v>
      </c>
      <c r="K276">
        <v>1510380000</v>
      </c>
      <c r="L276" t="b">
        <v>0</v>
      </c>
      <c r="M276" t="b">
        <v>0</v>
      </c>
      <c r="N276" t="s">
        <v>33</v>
      </c>
    </row>
    <row r="277" spans="1:14" ht="34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t="s">
        <v>20</v>
      </c>
      <c r="G277">
        <v>116</v>
      </c>
      <c r="H277" t="s">
        <v>21</v>
      </c>
      <c r="I277" t="s">
        <v>22</v>
      </c>
      <c r="J277">
        <v>1554526800</v>
      </c>
      <c r="K277">
        <v>1555218000</v>
      </c>
      <c r="L277" t="b">
        <v>0</v>
      </c>
      <c r="M277" t="b">
        <v>0</v>
      </c>
      <c r="N277" t="s">
        <v>206</v>
      </c>
    </row>
    <row r="278" spans="1:14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t="s">
        <v>14</v>
      </c>
      <c r="G278">
        <v>133</v>
      </c>
      <c r="H278" t="s">
        <v>21</v>
      </c>
      <c r="I278" t="s">
        <v>22</v>
      </c>
      <c r="J278">
        <v>1334811600</v>
      </c>
      <c r="K278">
        <v>1335243600</v>
      </c>
      <c r="L278" t="b">
        <v>0</v>
      </c>
      <c r="M278" t="b">
        <v>1</v>
      </c>
      <c r="N278" t="s">
        <v>89</v>
      </c>
    </row>
    <row r="279" spans="1:14" ht="34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t="s">
        <v>20</v>
      </c>
      <c r="G279">
        <v>83</v>
      </c>
      <c r="H279" t="s">
        <v>21</v>
      </c>
      <c r="I279" t="s">
        <v>22</v>
      </c>
      <c r="J279">
        <v>1279515600</v>
      </c>
      <c r="K279">
        <v>1279688400</v>
      </c>
      <c r="L279" t="b">
        <v>0</v>
      </c>
      <c r="M279" t="b">
        <v>0</v>
      </c>
      <c r="N279" t="s">
        <v>33</v>
      </c>
    </row>
    <row r="280" spans="1:14" ht="17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t="s">
        <v>20</v>
      </c>
      <c r="G280">
        <v>91</v>
      </c>
      <c r="H280" t="s">
        <v>21</v>
      </c>
      <c r="I280" t="s">
        <v>22</v>
      </c>
      <c r="J280">
        <v>1353909600</v>
      </c>
      <c r="K280">
        <v>1356069600</v>
      </c>
      <c r="L280" t="b">
        <v>0</v>
      </c>
      <c r="M280" t="b">
        <v>0</v>
      </c>
      <c r="N280" t="s">
        <v>28</v>
      </c>
    </row>
    <row r="281" spans="1:14" ht="17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t="s">
        <v>20</v>
      </c>
      <c r="G281">
        <v>546</v>
      </c>
      <c r="H281" t="s">
        <v>21</v>
      </c>
      <c r="I281" t="s">
        <v>22</v>
      </c>
      <c r="J281">
        <v>1535950800</v>
      </c>
      <c r="K281">
        <v>1536210000</v>
      </c>
      <c r="L281" t="b">
        <v>0</v>
      </c>
      <c r="M281" t="b">
        <v>0</v>
      </c>
      <c r="N281" t="s">
        <v>33</v>
      </c>
    </row>
    <row r="282" spans="1:14" ht="34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t="s">
        <v>20</v>
      </c>
      <c r="G282">
        <v>393</v>
      </c>
      <c r="H282" t="s">
        <v>21</v>
      </c>
      <c r="I282" t="s">
        <v>22</v>
      </c>
      <c r="J282">
        <v>1511244000</v>
      </c>
      <c r="K282">
        <v>1511762400</v>
      </c>
      <c r="L282" t="b">
        <v>0</v>
      </c>
      <c r="M282" t="b">
        <v>0</v>
      </c>
      <c r="N282" t="s">
        <v>71</v>
      </c>
    </row>
    <row r="283" spans="1:14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t="s">
        <v>14</v>
      </c>
      <c r="G283">
        <v>2062</v>
      </c>
      <c r="H283" t="s">
        <v>21</v>
      </c>
      <c r="I283" t="s">
        <v>22</v>
      </c>
      <c r="J283">
        <v>1331445600</v>
      </c>
      <c r="K283">
        <v>1333256400</v>
      </c>
      <c r="L283" t="b">
        <v>0</v>
      </c>
      <c r="M283" t="b">
        <v>1</v>
      </c>
      <c r="N283" t="s">
        <v>33</v>
      </c>
    </row>
    <row r="284" spans="1:14" ht="17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t="s">
        <v>20</v>
      </c>
      <c r="G284">
        <v>133</v>
      </c>
      <c r="H284" t="s">
        <v>21</v>
      </c>
      <c r="I284" t="s">
        <v>22</v>
      </c>
      <c r="J284">
        <v>1480226400</v>
      </c>
      <c r="K284">
        <v>1480744800</v>
      </c>
      <c r="L284" t="b">
        <v>0</v>
      </c>
      <c r="M284" t="b">
        <v>1</v>
      </c>
      <c r="N284" t="s">
        <v>269</v>
      </c>
    </row>
    <row r="285" spans="1:14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t="s">
        <v>14</v>
      </c>
      <c r="G285">
        <v>29</v>
      </c>
      <c r="H285" t="s">
        <v>36</v>
      </c>
      <c r="I285" t="s">
        <v>37</v>
      </c>
      <c r="J285">
        <v>1464584400</v>
      </c>
      <c r="K285">
        <v>1465016400</v>
      </c>
      <c r="L285" t="b">
        <v>0</v>
      </c>
      <c r="M285" t="b">
        <v>0</v>
      </c>
      <c r="N285" t="s">
        <v>23</v>
      </c>
    </row>
    <row r="286" spans="1:14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t="s">
        <v>14</v>
      </c>
      <c r="G286">
        <v>132</v>
      </c>
      <c r="H286" t="s">
        <v>21</v>
      </c>
      <c r="I286" t="s">
        <v>22</v>
      </c>
      <c r="J286">
        <v>1335848400</v>
      </c>
      <c r="K286">
        <v>1336280400</v>
      </c>
      <c r="L286" t="b">
        <v>0</v>
      </c>
      <c r="M286" t="b">
        <v>0</v>
      </c>
      <c r="N286" t="s">
        <v>28</v>
      </c>
    </row>
    <row r="287" spans="1:14" ht="17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t="s">
        <v>20</v>
      </c>
      <c r="G287">
        <v>254</v>
      </c>
      <c r="H287" t="s">
        <v>21</v>
      </c>
      <c r="I287" t="s">
        <v>22</v>
      </c>
      <c r="J287">
        <v>1473483600</v>
      </c>
      <c r="K287">
        <v>1476766800</v>
      </c>
      <c r="L287" t="b">
        <v>0</v>
      </c>
      <c r="M287" t="b">
        <v>0</v>
      </c>
      <c r="N287" t="s">
        <v>33</v>
      </c>
    </row>
    <row r="288" spans="1:14" ht="17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t="s">
        <v>74</v>
      </c>
      <c r="G288">
        <v>184</v>
      </c>
      <c r="H288" t="s">
        <v>21</v>
      </c>
      <c r="I288" t="s">
        <v>22</v>
      </c>
      <c r="J288">
        <v>1479880800</v>
      </c>
      <c r="K288">
        <v>1480485600</v>
      </c>
      <c r="L288" t="b">
        <v>0</v>
      </c>
      <c r="M288" t="b">
        <v>0</v>
      </c>
      <c r="N288" t="s">
        <v>33</v>
      </c>
    </row>
    <row r="289" spans="1:14" ht="17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t="s">
        <v>20</v>
      </c>
      <c r="G289">
        <v>176</v>
      </c>
      <c r="H289" t="s">
        <v>21</v>
      </c>
      <c r="I289" t="s">
        <v>22</v>
      </c>
      <c r="J289">
        <v>1430197200</v>
      </c>
      <c r="K289">
        <v>1430197200</v>
      </c>
      <c r="L289" t="b">
        <v>0</v>
      </c>
      <c r="M289" t="b">
        <v>0</v>
      </c>
      <c r="N289" t="s">
        <v>50</v>
      </c>
    </row>
    <row r="290" spans="1:14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t="s">
        <v>14</v>
      </c>
      <c r="G290">
        <v>137</v>
      </c>
      <c r="H290" t="s">
        <v>36</v>
      </c>
      <c r="I290" t="s">
        <v>37</v>
      </c>
      <c r="J290">
        <v>1331701200</v>
      </c>
      <c r="K290">
        <v>1331787600</v>
      </c>
      <c r="L290" t="b">
        <v>0</v>
      </c>
      <c r="M290" t="b">
        <v>1</v>
      </c>
      <c r="N290" t="s">
        <v>148</v>
      </c>
    </row>
    <row r="291" spans="1:14" ht="17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t="s">
        <v>20</v>
      </c>
      <c r="G291">
        <v>337</v>
      </c>
      <c r="H291" t="s">
        <v>15</v>
      </c>
      <c r="I291" t="s">
        <v>16</v>
      </c>
      <c r="J291">
        <v>1438578000</v>
      </c>
      <c r="K291">
        <v>1438837200</v>
      </c>
      <c r="L291" t="b">
        <v>0</v>
      </c>
      <c r="M291" t="b">
        <v>0</v>
      </c>
      <c r="N291" t="s">
        <v>33</v>
      </c>
    </row>
    <row r="292" spans="1:14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t="s">
        <v>14</v>
      </c>
      <c r="G292">
        <v>908</v>
      </c>
      <c r="H292" t="s">
        <v>21</v>
      </c>
      <c r="I292" t="s">
        <v>22</v>
      </c>
      <c r="J292">
        <v>1368162000</v>
      </c>
      <c r="K292">
        <v>1370926800</v>
      </c>
      <c r="L292" t="b">
        <v>0</v>
      </c>
      <c r="M292" t="b">
        <v>1</v>
      </c>
      <c r="N292" t="s">
        <v>42</v>
      </c>
    </row>
    <row r="293" spans="1:14" ht="17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t="s">
        <v>20</v>
      </c>
      <c r="G293">
        <v>107</v>
      </c>
      <c r="H293" t="s">
        <v>21</v>
      </c>
      <c r="I293" t="s">
        <v>22</v>
      </c>
      <c r="J293">
        <v>1318654800</v>
      </c>
      <c r="K293">
        <v>1319000400</v>
      </c>
      <c r="L293" t="b">
        <v>1</v>
      </c>
      <c r="M293" t="b">
        <v>0</v>
      </c>
      <c r="N293" t="s">
        <v>28</v>
      </c>
    </row>
    <row r="294" spans="1:14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t="s">
        <v>14</v>
      </c>
      <c r="G294">
        <v>10</v>
      </c>
      <c r="H294" t="s">
        <v>21</v>
      </c>
      <c r="I294" t="s">
        <v>22</v>
      </c>
      <c r="J294">
        <v>1331874000</v>
      </c>
      <c r="K294">
        <v>1333429200</v>
      </c>
      <c r="L294" t="b">
        <v>0</v>
      </c>
      <c r="M294" t="b">
        <v>0</v>
      </c>
      <c r="N294" t="s">
        <v>17</v>
      </c>
    </row>
    <row r="295" spans="1:14" ht="17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t="s">
        <v>74</v>
      </c>
      <c r="G295">
        <v>32</v>
      </c>
      <c r="H295" t="s">
        <v>107</v>
      </c>
      <c r="I295" t="s">
        <v>108</v>
      </c>
      <c r="J295">
        <v>1286254800</v>
      </c>
      <c r="K295">
        <v>1287032400</v>
      </c>
      <c r="L295" t="b">
        <v>0</v>
      </c>
      <c r="M295" t="b">
        <v>0</v>
      </c>
      <c r="N295" t="s">
        <v>33</v>
      </c>
    </row>
    <row r="296" spans="1:14" ht="17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t="s">
        <v>20</v>
      </c>
      <c r="G296">
        <v>183</v>
      </c>
      <c r="H296" t="s">
        <v>21</v>
      </c>
      <c r="I296" t="s">
        <v>22</v>
      </c>
      <c r="J296">
        <v>1540530000</v>
      </c>
      <c r="K296">
        <v>1541570400</v>
      </c>
      <c r="L296" t="b">
        <v>0</v>
      </c>
      <c r="M296" t="b">
        <v>0</v>
      </c>
      <c r="N296" t="s">
        <v>33</v>
      </c>
    </row>
    <row r="297" spans="1:14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t="s">
        <v>14</v>
      </c>
      <c r="G297">
        <v>1910</v>
      </c>
      <c r="H297" t="s">
        <v>98</v>
      </c>
      <c r="I297" t="s">
        <v>99</v>
      </c>
      <c r="J297">
        <v>1381813200</v>
      </c>
      <c r="K297">
        <v>1383976800</v>
      </c>
      <c r="L297" t="b">
        <v>0</v>
      </c>
      <c r="M297" t="b">
        <v>0</v>
      </c>
      <c r="N297" t="s">
        <v>33</v>
      </c>
    </row>
    <row r="298" spans="1:14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t="s">
        <v>14</v>
      </c>
      <c r="G298">
        <v>38</v>
      </c>
      <c r="H298" t="s">
        <v>26</v>
      </c>
      <c r="I298" t="s">
        <v>27</v>
      </c>
      <c r="J298">
        <v>1548655200</v>
      </c>
      <c r="K298">
        <v>1550556000</v>
      </c>
      <c r="L298" t="b">
        <v>0</v>
      </c>
      <c r="M298" t="b">
        <v>0</v>
      </c>
      <c r="N298" t="s">
        <v>33</v>
      </c>
    </row>
    <row r="299" spans="1:14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t="s">
        <v>14</v>
      </c>
      <c r="G299">
        <v>104</v>
      </c>
      <c r="H299" t="s">
        <v>26</v>
      </c>
      <c r="I299" t="s">
        <v>27</v>
      </c>
      <c r="J299">
        <v>1389679200</v>
      </c>
      <c r="K299">
        <v>1390456800</v>
      </c>
      <c r="L299" t="b">
        <v>0</v>
      </c>
      <c r="M299" t="b">
        <v>1</v>
      </c>
      <c r="N299" t="s">
        <v>33</v>
      </c>
    </row>
    <row r="300" spans="1:14" ht="17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t="s">
        <v>20</v>
      </c>
      <c r="G300">
        <v>72</v>
      </c>
      <c r="H300" t="s">
        <v>21</v>
      </c>
      <c r="I300" t="s">
        <v>22</v>
      </c>
      <c r="J300">
        <v>1456466400</v>
      </c>
      <c r="K300">
        <v>1458018000</v>
      </c>
      <c r="L300" t="b">
        <v>0</v>
      </c>
      <c r="M300" t="b">
        <v>1</v>
      </c>
      <c r="N300" t="s">
        <v>23</v>
      </c>
    </row>
    <row r="301" spans="1:14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t="s">
        <v>14</v>
      </c>
      <c r="G301">
        <v>49</v>
      </c>
      <c r="H301" t="s">
        <v>21</v>
      </c>
      <c r="I301" t="s">
        <v>22</v>
      </c>
      <c r="J301">
        <v>1456984800</v>
      </c>
      <c r="K301">
        <v>1461819600</v>
      </c>
      <c r="L301" t="b">
        <v>0</v>
      </c>
      <c r="M301" t="b">
        <v>0</v>
      </c>
      <c r="N301" t="s">
        <v>17</v>
      </c>
    </row>
    <row r="302" spans="1:14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t="s">
        <v>14</v>
      </c>
      <c r="G302">
        <v>1</v>
      </c>
      <c r="H302" t="s">
        <v>36</v>
      </c>
      <c r="I302" t="s">
        <v>37</v>
      </c>
      <c r="J302">
        <v>1504069200</v>
      </c>
      <c r="K302">
        <v>1504155600</v>
      </c>
      <c r="L302" t="b">
        <v>0</v>
      </c>
      <c r="M302" t="b">
        <v>1</v>
      </c>
      <c r="N302" t="s">
        <v>68</v>
      </c>
    </row>
    <row r="303" spans="1:14" ht="34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t="s">
        <v>20</v>
      </c>
      <c r="G303">
        <v>295</v>
      </c>
      <c r="H303" t="s">
        <v>21</v>
      </c>
      <c r="I303" t="s">
        <v>22</v>
      </c>
      <c r="J303">
        <v>1424930400</v>
      </c>
      <c r="K303">
        <v>1426395600</v>
      </c>
      <c r="L303" t="b">
        <v>0</v>
      </c>
      <c r="M303" t="b">
        <v>0</v>
      </c>
      <c r="N303" t="s">
        <v>42</v>
      </c>
    </row>
    <row r="304" spans="1:14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t="s">
        <v>14</v>
      </c>
      <c r="G304">
        <v>245</v>
      </c>
      <c r="H304" t="s">
        <v>21</v>
      </c>
      <c r="I304" t="s">
        <v>22</v>
      </c>
      <c r="J304">
        <v>1535864400</v>
      </c>
      <c r="K304">
        <v>1537074000</v>
      </c>
      <c r="L304" t="b">
        <v>0</v>
      </c>
      <c r="M304" t="b">
        <v>0</v>
      </c>
      <c r="N304" t="s">
        <v>33</v>
      </c>
    </row>
    <row r="305" spans="1:14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t="s">
        <v>14</v>
      </c>
      <c r="G305">
        <v>32</v>
      </c>
      <c r="H305" t="s">
        <v>21</v>
      </c>
      <c r="I305" t="s">
        <v>22</v>
      </c>
      <c r="J305">
        <v>1452146400</v>
      </c>
      <c r="K305">
        <v>1452578400</v>
      </c>
      <c r="L305" t="b">
        <v>0</v>
      </c>
      <c r="M305" t="b">
        <v>0</v>
      </c>
      <c r="N305" t="s">
        <v>60</v>
      </c>
    </row>
    <row r="306" spans="1:14" ht="17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t="s">
        <v>20</v>
      </c>
      <c r="G306">
        <v>142</v>
      </c>
      <c r="H306" t="s">
        <v>21</v>
      </c>
      <c r="I306" t="s">
        <v>22</v>
      </c>
      <c r="J306">
        <v>1470546000</v>
      </c>
      <c r="K306">
        <v>1474088400</v>
      </c>
      <c r="L306" t="b">
        <v>0</v>
      </c>
      <c r="M306" t="b">
        <v>0</v>
      </c>
      <c r="N306" t="s">
        <v>42</v>
      </c>
    </row>
    <row r="307" spans="1:14" ht="17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t="s">
        <v>20</v>
      </c>
      <c r="G307">
        <v>85</v>
      </c>
      <c r="H307" t="s">
        <v>21</v>
      </c>
      <c r="I307" t="s">
        <v>22</v>
      </c>
      <c r="J307">
        <v>1458363600</v>
      </c>
      <c r="K307">
        <v>1461906000</v>
      </c>
      <c r="L307" t="b">
        <v>0</v>
      </c>
      <c r="M307" t="b">
        <v>0</v>
      </c>
      <c r="N307" t="s">
        <v>33</v>
      </c>
    </row>
    <row r="308" spans="1:14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t="s">
        <v>14</v>
      </c>
      <c r="G308">
        <v>7</v>
      </c>
      <c r="H308" t="s">
        <v>21</v>
      </c>
      <c r="I308" t="s">
        <v>22</v>
      </c>
      <c r="J308">
        <v>1500008400</v>
      </c>
      <c r="K308">
        <v>1500267600</v>
      </c>
      <c r="L308" t="b">
        <v>0</v>
      </c>
      <c r="M308" t="b">
        <v>1</v>
      </c>
      <c r="N308" t="s">
        <v>33</v>
      </c>
    </row>
    <row r="309" spans="1:14" ht="17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t="s">
        <v>20</v>
      </c>
      <c r="G309">
        <v>659</v>
      </c>
      <c r="H309" t="s">
        <v>36</v>
      </c>
      <c r="I309" t="s">
        <v>37</v>
      </c>
      <c r="J309">
        <v>1338958800</v>
      </c>
      <c r="K309">
        <v>1340686800</v>
      </c>
      <c r="L309" t="b">
        <v>0</v>
      </c>
      <c r="M309" t="b">
        <v>1</v>
      </c>
      <c r="N309" t="s">
        <v>119</v>
      </c>
    </row>
    <row r="310" spans="1:14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t="s">
        <v>14</v>
      </c>
      <c r="G310">
        <v>803</v>
      </c>
      <c r="H310" t="s">
        <v>21</v>
      </c>
      <c r="I310" t="s">
        <v>22</v>
      </c>
      <c r="J310">
        <v>1303102800</v>
      </c>
      <c r="K310">
        <v>1303189200</v>
      </c>
      <c r="L310" t="b">
        <v>0</v>
      </c>
      <c r="M310" t="b">
        <v>0</v>
      </c>
      <c r="N310" t="s">
        <v>33</v>
      </c>
    </row>
    <row r="311" spans="1:14" ht="17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t="s">
        <v>74</v>
      </c>
      <c r="G311">
        <v>75</v>
      </c>
      <c r="H311" t="s">
        <v>21</v>
      </c>
      <c r="I311" t="s">
        <v>22</v>
      </c>
      <c r="J311">
        <v>1316581200</v>
      </c>
      <c r="K311">
        <v>1318309200</v>
      </c>
      <c r="L311" t="b">
        <v>0</v>
      </c>
      <c r="M311" t="b">
        <v>1</v>
      </c>
      <c r="N311" t="s">
        <v>60</v>
      </c>
    </row>
    <row r="312" spans="1:14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t="s">
        <v>14</v>
      </c>
      <c r="G312">
        <v>16</v>
      </c>
      <c r="H312" t="s">
        <v>21</v>
      </c>
      <c r="I312" t="s">
        <v>22</v>
      </c>
      <c r="J312">
        <v>1270789200</v>
      </c>
      <c r="K312">
        <v>1272171600</v>
      </c>
      <c r="L312" t="b">
        <v>0</v>
      </c>
      <c r="M312" t="b">
        <v>0</v>
      </c>
      <c r="N312" t="s">
        <v>89</v>
      </c>
    </row>
    <row r="313" spans="1:14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t="s">
        <v>20</v>
      </c>
      <c r="G313">
        <v>121</v>
      </c>
      <c r="H313" t="s">
        <v>21</v>
      </c>
      <c r="I313" t="s">
        <v>22</v>
      </c>
      <c r="J313">
        <v>1297836000</v>
      </c>
      <c r="K313">
        <v>1298872800</v>
      </c>
      <c r="L313" t="b">
        <v>0</v>
      </c>
      <c r="M313" t="b">
        <v>0</v>
      </c>
      <c r="N313" t="s">
        <v>33</v>
      </c>
    </row>
    <row r="314" spans="1:14" ht="17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t="s">
        <v>20</v>
      </c>
      <c r="G314">
        <v>3742</v>
      </c>
      <c r="H314" t="s">
        <v>21</v>
      </c>
      <c r="I314" t="s">
        <v>22</v>
      </c>
      <c r="J314">
        <v>1382677200</v>
      </c>
      <c r="K314">
        <v>1383282000</v>
      </c>
      <c r="L314" t="b">
        <v>0</v>
      </c>
      <c r="M314" t="b">
        <v>0</v>
      </c>
      <c r="N314" t="s">
        <v>33</v>
      </c>
    </row>
    <row r="315" spans="1:14" ht="17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t="s">
        <v>20</v>
      </c>
      <c r="G315">
        <v>223</v>
      </c>
      <c r="H315" t="s">
        <v>21</v>
      </c>
      <c r="I315" t="s">
        <v>22</v>
      </c>
      <c r="J315">
        <v>1330322400</v>
      </c>
      <c r="K315">
        <v>1330495200</v>
      </c>
      <c r="L315" t="b">
        <v>0</v>
      </c>
      <c r="M315" t="b">
        <v>0</v>
      </c>
      <c r="N315" t="s">
        <v>23</v>
      </c>
    </row>
    <row r="316" spans="1:14" ht="17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t="s">
        <v>20</v>
      </c>
      <c r="G316">
        <v>133</v>
      </c>
      <c r="H316" t="s">
        <v>21</v>
      </c>
      <c r="I316" t="s">
        <v>22</v>
      </c>
      <c r="J316">
        <v>1552366800</v>
      </c>
      <c r="K316">
        <v>1552798800</v>
      </c>
      <c r="L316" t="b">
        <v>0</v>
      </c>
      <c r="M316" t="b">
        <v>1</v>
      </c>
      <c r="N316" t="s">
        <v>42</v>
      </c>
    </row>
    <row r="317" spans="1:14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t="s">
        <v>14</v>
      </c>
      <c r="G317">
        <v>31</v>
      </c>
      <c r="H317" t="s">
        <v>21</v>
      </c>
      <c r="I317" t="s">
        <v>22</v>
      </c>
      <c r="J317">
        <v>1400907600</v>
      </c>
      <c r="K317">
        <v>1403413200</v>
      </c>
      <c r="L317" t="b">
        <v>0</v>
      </c>
      <c r="M317" t="b">
        <v>0</v>
      </c>
      <c r="N317" t="s">
        <v>33</v>
      </c>
    </row>
    <row r="318" spans="1:14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t="s">
        <v>14</v>
      </c>
      <c r="G318">
        <v>108</v>
      </c>
      <c r="H318" t="s">
        <v>107</v>
      </c>
      <c r="I318" t="s">
        <v>108</v>
      </c>
      <c r="J318">
        <v>1574143200</v>
      </c>
      <c r="K318">
        <v>1574229600</v>
      </c>
      <c r="L318" t="b">
        <v>0</v>
      </c>
      <c r="M318" t="b">
        <v>1</v>
      </c>
      <c r="N318" t="s">
        <v>17</v>
      </c>
    </row>
    <row r="319" spans="1:14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t="s">
        <v>14</v>
      </c>
      <c r="G319">
        <v>30</v>
      </c>
      <c r="H319" t="s">
        <v>21</v>
      </c>
      <c r="I319" t="s">
        <v>22</v>
      </c>
      <c r="J319">
        <v>1494738000</v>
      </c>
      <c r="K319">
        <v>1495861200</v>
      </c>
      <c r="L319" t="b">
        <v>0</v>
      </c>
      <c r="M319" t="b">
        <v>0</v>
      </c>
      <c r="N319" t="s">
        <v>33</v>
      </c>
    </row>
    <row r="320" spans="1:14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t="s">
        <v>14</v>
      </c>
      <c r="G320">
        <v>17</v>
      </c>
      <c r="H320" t="s">
        <v>21</v>
      </c>
      <c r="I320" t="s">
        <v>22</v>
      </c>
      <c r="J320">
        <v>1392357600</v>
      </c>
      <c r="K320">
        <v>1392530400</v>
      </c>
      <c r="L320" t="b">
        <v>0</v>
      </c>
      <c r="M320" t="b">
        <v>0</v>
      </c>
      <c r="N320" t="s">
        <v>23</v>
      </c>
    </row>
    <row r="321" spans="1:14" ht="17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t="s">
        <v>74</v>
      </c>
      <c r="G321">
        <v>64</v>
      </c>
      <c r="H321" t="s">
        <v>21</v>
      </c>
      <c r="I321" t="s">
        <v>22</v>
      </c>
      <c r="J321">
        <v>1281589200</v>
      </c>
      <c r="K321">
        <v>1283662800</v>
      </c>
      <c r="L321" t="b">
        <v>0</v>
      </c>
      <c r="M321" t="b">
        <v>0</v>
      </c>
      <c r="N321" t="s">
        <v>28</v>
      </c>
    </row>
    <row r="322" spans="1:14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t="s">
        <v>14</v>
      </c>
      <c r="G322">
        <v>80</v>
      </c>
      <c r="H322" t="s">
        <v>21</v>
      </c>
      <c r="I322" t="s">
        <v>22</v>
      </c>
      <c r="J322">
        <v>1305003600</v>
      </c>
      <c r="K322">
        <v>1305781200</v>
      </c>
      <c r="L322" t="b">
        <v>0</v>
      </c>
      <c r="M322" t="b">
        <v>0</v>
      </c>
      <c r="N322" t="s">
        <v>119</v>
      </c>
    </row>
    <row r="323" spans="1:14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t="s">
        <v>14</v>
      </c>
      <c r="G323">
        <v>2468</v>
      </c>
      <c r="H323" t="s">
        <v>21</v>
      </c>
      <c r="I323" t="s">
        <v>22</v>
      </c>
      <c r="J323">
        <v>1301634000</v>
      </c>
      <c r="K323">
        <v>1302325200</v>
      </c>
      <c r="L323" t="b">
        <v>0</v>
      </c>
      <c r="M323" t="b">
        <v>0</v>
      </c>
      <c r="N323" t="s">
        <v>100</v>
      </c>
    </row>
    <row r="324" spans="1:14" ht="34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t="s">
        <v>20</v>
      </c>
      <c r="G324">
        <v>5168</v>
      </c>
      <c r="H324" t="s">
        <v>21</v>
      </c>
      <c r="I324" t="s">
        <v>22</v>
      </c>
      <c r="J324">
        <v>1290664800</v>
      </c>
      <c r="K324">
        <v>1291788000</v>
      </c>
      <c r="L324" t="b">
        <v>0</v>
      </c>
      <c r="M324" t="b">
        <v>0</v>
      </c>
      <c r="N324" t="s">
        <v>33</v>
      </c>
    </row>
    <row r="325" spans="1:14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t="s">
        <v>14</v>
      </c>
      <c r="G325">
        <v>26</v>
      </c>
      <c r="H325" t="s">
        <v>40</v>
      </c>
      <c r="I325" t="s">
        <v>41</v>
      </c>
      <c r="J325">
        <v>1395896400</v>
      </c>
      <c r="K325">
        <v>1396069200</v>
      </c>
      <c r="L325" t="b">
        <v>0</v>
      </c>
      <c r="M325" t="b">
        <v>0</v>
      </c>
      <c r="N325" t="s">
        <v>42</v>
      </c>
    </row>
    <row r="326" spans="1:14" ht="17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t="s">
        <v>20</v>
      </c>
      <c r="G326">
        <v>307</v>
      </c>
      <c r="H326" t="s">
        <v>21</v>
      </c>
      <c r="I326" t="s">
        <v>22</v>
      </c>
      <c r="J326">
        <v>1434862800</v>
      </c>
      <c r="K326">
        <v>1435899600</v>
      </c>
      <c r="L326" t="b">
        <v>0</v>
      </c>
      <c r="M326" t="b">
        <v>1</v>
      </c>
      <c r="N326" t="s">
        <v>33</v>
      </c>
    </row>
    <row r="327" spans="1:14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t="s">
        <v>14</v>
      </c>
      <c r="G327">
        <v>73</v>
      </c>
      <c r="H327" t="s">
        <v>21</v>
      </c>
      <c r="I327" t="s">
        <v>22</v>
      </c>
      <c r="J327">
        <v>1529125200</v>
      </c>
      <c r="K327">
        <v>1531112400</v>
      </c>
      <c r="L327" t="b">
        <v>0</v>
      </c>
      <c r="M327" t="b">
        <v>1</v>
      </c>
      <c r="N327" t="s">
        <v>33</v>
      </c>
    </row>
    <row r="328" spans="1:14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t="s">
        <v>14</v>
      </c>
      <c r="G328">
        <v>128</v>
      </c>
      <c r="H328" t="s">
        <v>21</v>
      </c>
      <c r="I328" t="s">
        <v>22</v>
      </c>
      <c r="J328">
        <v>1451109600</v>
      </c>
      <c r="K328">
        <v>1451628000</v>
      </c>
      <c r="L328" t="b">
        <v>0</v>
      </c>
      <c r="M328" t="b">
        <v>0</v>
      </c>
      <c r="N328" t="s">
        <v>71</v>
      </c>
    </row>
    <row r="329" spans="1:14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t="s">
        <v>14</v>
      </c>
      <c r="G329">
        <v>33</v>
      </c>
      <c r="H329" t="s">
        <v>21</v>
      </c>
      <c r="I329" t="s">
        <v>22</v>
      </c>
      <c r="J329">
        <v>1566968400</v>
      </c>
      <c r="K329">
        <v>1567314000</v>
      </c>
      <c r="L329" t="b">
        <v>0</v>
      </c>
      <c r="M329" t="b">
        <v>1</v>
      </c>
      <c r="N329" t="s">
        <v>33</v>
      </c>
    </row>
    <row r="330" spans="1:14" ht="34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t="s">
        <v>20</v>
      </c>
      <c r="G330">
        <v>2441</v>
      </c>
      <c r="H330" t="s">
        <v>21</v>
      </c>
      <c r="I330" t="s">
        <v>22</v>
      </c>
      <c r="J330">
        <v>1543557600</v>
      </c>
      <c r="K330">
        <v>1544508000</v>
      </c>
      <c r="L330" t="b">
        <v>0</v>
      </c>
      <c r="M330" t="b">
        <v>0</v>
      </c>
      <c r="N330" t="s">
        <v>23</v>
      </c>
    </row>
    <row r="331" spans="1:14" ht="17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t="s">
        <v>47</v>
      </c>
      <c r="G331">
        <v>211</v>
      </c>
      <c r="H331" t="s">
        <v>21</v>
      </c>
      <c r="I331" t="s">
        <v>22</v>
      </c>
      <c r="J331">
        <v>1481522400</v>
      </c>
      <c r="K331">
        <v>1482472800</v>
      </c>
      <c r="L331" t="b">
        <v>0</v>
      </c>
      <c r="M331" t="b">
        <v>0</v>
      </c>
      <c r="N331" t="s">
        <v>89</v>
      </c>
    </row>
    <row r="332" spans="1:14" ht="34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t="s">
        <v>20</v>
      </c>
      <c r="G332">
        <v>1385</v>
      </c>
      <c r="H332" t="s">
        <v>40</v>
      </c>
      <c r="I332" t="s">
        <v>41</v>
      </c>
      <c r="J332">
        <v>1512712800</v>
      </c>
      <c r="K332">
        <v>1512799200</v>
      </c>
      <c r="L332" t="b">
        <v>0</v>
      </c>
      <c r="M332" t="b">
        <v>0</v>
      </c>
      <c r="N332" t="s">
        <v>42</v>
      </c>
    </row>
    <row r="333" spans="1:14" ht="17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t="s">
        <v>20</v>
      </c>
      <c r="G333">
        <v>190</v>
      </c>
      <c r="H333" t="s">
        <v>21</v>
      </c>
      <c r="I333" t="s">
        <v>22</v>
      </c>
      <c r="J333">
        <v>1324274400</v>
      </c>
      <c r="K333">
        <v>1324360800</v>
      </c>
      <c r="L333" t="b">
        <v>0</v>
      </c>
      <c r="M333" t="b">
        <v>0</v>
      </c>
      <c r="N333" t="s">
        <v>17</v>
      </c>
    </row>
    <row r="334" spans="1:14" ht="34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t="s">
        <v>20</v>
      </c>
      <c r="G334">
        <v>470</v>
      </c>
      <c r="H334" t="s">
        <v>21</v>
      </c>
      <c r="I334" t="s">
        <v>22</v>
      </c>
      <c r="J334">
        <v>1364446800</v>
      </c>
      <c r="K334">
        <v>1364533200</v>
      </c>
      <c r="L334" t="b">
        <v>0</v>
      </c>
      <c r="M334" t="b">
        <v>0</v>
      </c>
      <c r="N334" t="s">
        <v>65</v>
      </c>
    </row>
    <row r="335" spans="1:14" ht="17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t="s">
        <v>20</v>
      </c>
      <c r="G335">
        <v>253</v>
      </c>
      <c r="H335" t="s">
        <v>21</v>
      </c>
      <c r="I335" t="s">
        <v>22</v>
      </c>
      <c r="J335">
        <v>1542693600</v>
      </c>
      <c r="K335">
        <v>1545112800</v>
      </c>
      <c r="L335" t="b">
        <v>0</v>
      </c>
      <c r="M335" t="b">
        <v>0</v>
      </c>
      <c r="N335" t="s">
        <v>33</v>
      </c>
    </row>
    <row r="336" spans="1:14" ht="17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t="s">
        <v>20</v>
      </c>
      <c r="G336">
        <v>1113</v>
      </c>
      <c r="H336" t="s">
        <v>21</v>
      </c>
      <c r="I336" t="s">
        <v>22</v>
      </c>
      <c r="J336">
        <v>1515564000</v>
      </c>
      <c r="K336">
        <v>1516168800</v>
      </c>
      <c r="L336" t="b">
        <v>0</v>
      </c>
      <c r="M336" t="b">
        <v>0</v>
      </c>
      <c r="N336" t="s">
        <v>23</v>
      </c>
    </row>
    <row r="337" spans="1:14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t="s">
        <v>20</v>
      </c>
      <c r="G337">
        <v>2283</v>
      </c>
      <c r="H337" t="s">
        <v>21</v>
      </c>
      <c r="I337" t="s">
        <v>22</v>
      </c>
      <c r="J337">
        <v>1573797600</v>
      </c>
      <c r="K337">
        <v>1574920800</v>
      </c>
      <c r="L337" t="b">
        <v>0</v>
      </c>
      <c r="M337" t="b">
        <v>0</v>
      </c>
      <c r="N337" t="s">
        <v>23</v>
      </c>
    </row>
    <row r="338" spans="1:14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t="s">
        <v>14</v>
      </c>
      <c r="G338">
        <v>1072</v>
      </c>
      <c r="H338" t="s">
        <v>21</v>
      </c>
      <c r="I338" t="s">
        <v>22</v>
      </c>
      <c r="J338">
        <v>1292392800</v>
      </c>
      <c r="K338">
        <v>1292479200</v>
      </c>
      <c r="L338" t="b">
        <v>0</v>
      </c>
      <c r="M338" t="b">
        <v>1</v>
      </c>
      <c r="N338" t="s">
        <v>23</v>
      </c>
    </row>
    <row r="339" spans="1:14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t="s">
        <v>20</v>
      </c>
      <c r="G339">
        <v>1095</v>
      </c>
      <c r="H339" t="s">
        <v>21</v>
      </c>
      <c r="I339" t="s">
        <v>22</v>
      </c>
      <c r="J339">
        <v>1573452000</v>
      </c>
      <c r="K339">
        <v>1573538400</v>
      </c>
      <c r="L339" t="b">
        <v>0</v>
      </c>
      <c r="M339" t="b">
        <v>0</v>
      </c>
      <c r="N339" t="s">
        <v>33</v>
      </c>
    </row>
    <row r="340" spans="1:14" ht="17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t="s">
        <v>20</v>
      </c>
      <c r="G340">
        <v>1690</v>
      </c>
      <c r="H340" t="s">
        <v>21</v>
      </c>
      <c r="I340" t="s">
        <v>22</v>
      </c>
      <c r="J340">
        <v>1317790800</v>
      </c>
      <c r="K340">
        <v>1320382800</v>
      </c>
      <c r="L340" t="b">
        <v>0</v>
      </c>
      <c r="M340" t="b">
        <v>0</v>
      </c>
      <c r="N340" t="s">
        <v>33</v>
      </c>
    </row>
    <row r="341" spans="1:14" ht="17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t="s">
        <v>74</v>
      </c>
      <c r="G341">
        <v>1297</v>
      </c>
      <c r="H341" t="s">
        <v>15</v>
      </c>
      <c r="I341" t="s">
        <v>16</v>
      </c>
      <c r="J341">
        <v>1501650000</v>
      </c>
      <c r="K341">
        <v>1502859600</v>
      </c>
      <c r="L341" t="b">
        <v>0</v>
      </c>
      <c r="M341" t="b">
        <v>0</v>
      </c>
      <c r="N341" t="s">
        <v>33</v>
      </c>
    </row>
    <row r="342" spans="1:14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t="s">
        <v>14</v>
      </c>
      <c r="G342">
        <v>393</v>
      </c>
      <c r="H342" t="s">
        <v>21</v>
      </c>
      <c r="I342" t="s">
        <v>22</v>
      </c>
      <c r="J342">
        <v>1323669600</v>
      </c>
      <c r="K342">
        <v>1323756000</v>
      </c>
      <c r="L342" t="b">
        <v>0</v>
      </c>
      <c r="M342" t="b">
        <v>0</v>
      </c>
      <c r="N342" t="s">
        <v>122</v>
      </c>
    </row>
    <row r="343" spans="1:14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t="s">
        <v>14</v>
      </c>
      <c r="G343">
        <v>1257</v>
      </c>
      <c r="H343" t="s">
        <v>21</v>
      </c>
      <c r="I343" t="s">
        <v>22</v>
      </c>
      <c r="J343">
        <v>1440738000</v>
      </c>
      <c r="K343">
        <v>1441342800</v>
      </c>
      <c r="L343" t="b">
        <v>0</v>
      </c>
      <c r="M343" t="b">
        <v>0</v>
      </c>
      <c r="N343" t="s">
        <v>60</v>
      </c>
    </row>
    <row r="344" spans="1:14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t="s">
        <v>14</v>
      </c>
      <c r="G344">
        <v>328</v>
      </c>
      <c r="H344" t="s">
        <v>21</v>
      </c>
      <c r="I344" t="s">
        <v>22</v>
      </c>
      <c r="J344">
        <v>1374296400</v>
      </c>
      <c r="K344">
        <v>1375333200</v>
      </c>
      <c r="L344" t="b">
        <v>0</v>
      </c>
      <c r="M344" t="b">
        <v>0</v>
      </c>
      <c r="N344" t="s">
        <v>33</v>
      </c>
    </row>
    <row r="345" spans="1:14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t="s">
        <v>14</v>
      </c>
      <c r="G345">
        <v>147</v>
      </c>
      <c r="H345" t="s">
        <v>21</v>
      </c>
      <c r="I345" t="s">
        <v>22</v>
      </c>
      <c r="J345">
        <v>1384840800</v>
      </c>
      <c r="K345">
        <v>1389420000</v>
      </c>
      <c r="L345" t="b">
        <v>0</v>
      </c>
      <c r="M345" t="b">
        <v>0</v>
      </c>
      <c r="N345" t="s">
        <v>33</v>
      </c>
    </row>
    <row r="346" spans="1:14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t="s">
        <v>14</v>
      </c>
      <c r="G346">
        <v>830</v>
      </c>
      <c r="H346" t="s">
        <v>21</v>
      </c>
      <c r="I346" t="s">
        <v>22</v>
      </c>
      <c r="J346">
        <v>1516600800</v>
      </c>
      <c r="K346">
        <v>1520056800</v>
      </c>
      <c r="L346" t="b">
        <v>0</v>
      </c>
      <c r="M346" t="b">
        <v>0</v>
      </c>
      <c r="N346" t="s">
        <v>89</v>
      </c>
    </row>
    <row r="347" spans="1:14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t="s">
        <v>14</v>
      </c>
      <c r="G347">
        <v>331</v>
      </c>
      <c r="H347" t="s">
        <v>40</v>
      </c>
      <c r="I347" t="s">
        <v>41</v>
      </c>
      <c r="J347">
        <v>1436418000</v>
      </c>
      <c r="K347">
        <v>1436504400</v>
      </c>
      <c r="L347" t="b">
        <v>0</v>
      </c>
      <c r="M347" t="b">
        <v>0</v>
      </c>
      <c r="N347" t="s">
        <v>53</v>
      </c>
    </row>
    <row r="348" spans="1:14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t="s">
        <v>14</v>
      </c>
      <c r="G348">
        <v>25</v>
      </c>
      <c r="H348" t="s">
        <v>21</v>
      </c>
      <c r="I348" t="s">
        <v>22</v>
      </c>
      <c r="J348">
        <v>1503550800</v>
      </c>
      <c r="K348">
        <v>1508302800</v>
      </c>
      <c r="L348" t="b">
        <v>0</v>
      </c>
      <c r="M348" t="b">
        <v>1</v>
      </c>
      <c r="N348" t="s">
        <v>60</v>
      </c>
    </row>
    <row r="349" spans="1:14" ht="17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t="s">
        <v>20</v>
      </c>
      <c r="G349">
        <v>191</v>
      </c>
      <c r="H349" t="s">
        <v>21</v>
      </c>
      <c r="I349" t="s">
        <v>22</v>
      </c>
      <c r="J349">
        <v>1423634400</v>
      </c>
      <c r="K349">
        <v>1425708000</v>
      </c>
      <c r="L349" t="b">
        <v>0</v>
      </c>
      <c r="M349" t="b">
        <v>0</v>
      </c>
      <c r="N349" t="s">
        <v>28</v>
      </c>
    </row>
    <row r="350" spans="1:14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t="s">
        <v>14</v>
      </c>
      <c r="G350">
        <v>3483</v>
      </c>
      <c r="H350" t="s">
        <v>21</v>
      </c>
      <c r="I350" t="s">
        <v>22</v>
      </c>
      <c r="J350">
        <v>1487224800</v>
      </c>
      <c r="K350">
        <v>1488348000</v>
      </c>
      <c r="L350" t="b">
        <v>0</v>
      </c>
      <c r="M350" t="b">
        <v>0</v>
      </c>
      <c r="N350" t="s">
        <v>17</v>
      </c>
    </row>
    <row r="351" spans="1:14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t="s">
        <v>14</v>
      </c>
      <c r="G351">
        <v>923</v>
      </c>
      <c r="H351" t="s">
        <v>21</v>
      </c>
      <c r="I351" t="s">
        <v>22</v>
      </c>
      <c r="J351">
        <v>1500008400</v>
      </c>
      <c r="K351">
        <v>1502600400</v>
      </c>
      <c r="L351" t="b">
        <v>0</v>
      </c>
      <c r="M351" t="b">
        <v>0</v>
      </c>
      <c r="N351" t="s">
        <v>33</v>
      </c>
    </row>
    <row r="352" spans="1:14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t="s">
        <v>14</v>
      </c>
      <c r="G352">
        <v>1</v>
      </c>
      <c r="H352" t="s">
        <v>21</v>
      </c>
      <c r="I352" t="s">
        <v>22</v>
      </c>
      <c r="J352">
        <v>1432098000</v>
      </c>
      <c r="K352">
        <v>1433653200</v>
      </c>
      <c r="L352" t="b">
        <v>0</v>
      </c>
      <c r="M352" t="b">
        <v>1</v>
      </c>
      <c r="N352" t="s">
        <v>159</v>
      </c>
    </row>
    <row r="353" spans="1:14" ht="17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t="s">
        <v>20</v>
      </c>
      <c r="G353">
        <v>2013</v>
      </c>
      <c r="H353" t="s">
        <v>21</v>
      </c>
      <c r="I353" t="s">
        <v>22</v>
      </c>
      <c r="J353">
        <v>1440392400</v>
      </c>
      <c r="K353">
        <v>1441602000</v>
      </c>
      <c r="L353" t="b">
        <v>0</v>
      </c>
      <c r="M353" t="b">
        <v>0</v>
      </c>
      <c r="N353" t="s">
        <v>23</v>
      </c>
    </row>
    <row r="354" spans="1:14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>
        <v>1447567200</v>
      </c>
      <c r="L354" t="b">
        <v>0</v>
      </c>
      <c r="M354" t="b">
        <v>0</v>
      </c>
      <c r="N354" t="s">
        <v>33</v>
      </c>
    </row>
    <row r="355" spans="1:14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t="s">
        <v>20</v>
      </c>
      <c r="G355">
        <v>1703</v>
      </c>
      <c r="H355" t="s">
        <v>21</v>
      </c>
      <c r="I355" t="s">
        <v>22</v>
      </c>
      <c r="J355">
        <v>1562302800</v>
      </c>
      <c r="K355">
        <v>1562389200</v>
      </c>
      <c r="L355" t="b">
        <v>0</v>
      </c>
      <c r="M355" t="b">
        <v>0</v>
      </c>
      <c r="N355" t="s">
        <v>33</v>
      </c>
    </row>
    <row r="356" spans="1:14" ht="17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t="s">
        <v>20</v>
      </c>
      <c r="G356">
        <v>80</v>
      </c>
      <c r="H356" t="s">
        <v>36</v>
      </c>
      <c r="I356" t="s">
        <v>37</v>
      </c>
      <c r="J356">
        <v>1378184400</v>
      </c>
      <c r="K356">
        <v>1378789200</v>
      </c>
      <c r="L356" t="b">
        <v>0</v>
      </c>
      <c r="M356" t="b">
        <v>0</v>
      </c>
      <c r="N356" t="s">
        <v>42</v>
      </c>
    </row>
    <row r="357" spans="1:14" ht="17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t="s">
        <v>47</v>
      </c>
      <c r="G357">
        <v>86</v>
      </c>
      <c r="H357" t="s">
        <v>21</v>
      </c>
      <c r="I357" t="s">
        <v>22</v>
      </c>
      <c r="J357">
        <v>1485064800</v>
      </c>
      <c r="K357">
        <v>1488520800</v>
      </c>
      <c r="L357" t="b">
        <v>0</v>
      </c>
      <c r="M357" t="b">
        <v>0</v>
      </c>
      <c r="N357" t="s">
        <v>65</v>
      </c>
    </row>
    <row r="358" spans="1:14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t="s">
        <v>14</v>
      </c>
      <c r="G358">
        <v>40</v>
      </c>
      <c r="H358" t="s">
        <v>107</v>
      </c>
      <c r="I358" t="s">
        <v>108</v>
      </c>
      <c r="J358">
        <v>1326520800</v>
      </c>
      <c r="K358">
        <v>1327298400</v>
      </c>
      <c r="L358" t="b">
        <v>0</v>
      </c>
      <c r="M358" t="b">
        <v>0</v>
      </c>
      <c r="N358" t="s">
        <v>33</v>
      </c>
    </row>
    <row r="359" spans="1:14" ht="17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t="s">
        <v>20</v>
      </c>
      <c r="G359">
        <v>41</v>
      </c>
      <c r="H359" t="s">
        <v>21</v>
      </c>
      <c r="I359" t="s">
        <v>22</v>
      </c>
      <c r="J359">
        <v>1441256400</v>
      </c>
      <c r="K359">
        <v>1443416400</v>
      </c>
      <c r="L359" t="b">
        <v>0</v>
      </c>
      <c r="M359" t="b">
        <v>0</v>
      </c>
      <c r="N359" t="s">
        <v>89</v>
      </c>
    </row>
    <row r="360" spans="1:14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>
        <v>1534136400</v>
      </c>
      <c r="L360" t="b">
        <v>1</v>
      </c>
      <c r="M360" t="b">
        <v>0</v>
      </c>
      <c r="N360" t="s">
        <v>122</v>
      </c>
    </row>
    <row r="361" spans="1:14" ht="17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t="s">
        <v>20</v>
      </c>
      <c r="G361">
        <v>187</v>
      </c>
      <c r="H361" t="s">
        <v>21</v>
      </c>
      <c r="I361" t="s">
        <v>22</v>
      </c>
      <c r="J361">
        <v>1314421200</v>
      </c>
      <c r="K361">
        <v>1315026000</v>
      </c>
      <c r="L361" t="b">
        <v>0</v>
      </c>
      <c r="M361" t="b">
        <v>0</v>
      </c>
      <c r="N361" t="s">
        <v>71</v>
      </c>
    </row>
    <row r="362" spans="1:14" ht="17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t="s">
        <v>20</v>
      </c>
      <c r="G362">
        <v>2875</v>
      </c>
      <c r="H362" t="s">
        <v>40</v>
      </c>
      <c r="I362" t="s">
        <v>41</v>
      </c>
      <c r="J362">
        <v>1293861600</v>
      </c>
      <c r="K362">
        <v>1295071200</v>
      </c>
      <c r="L362" t="b">
        <v>0</v>
      </c>
      <c r="M362" t="b">
        <v>1</v>
      </c>
      <c r="N362" t="s">
        <v>33</v>
      </c>
    </row>
    <row r="363" spans="1:14" ht="17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t="s">
        <v>20</v>
      </c>
      <c r="G363">
        <v>88</v>
      </c>
      <c r="H363" t="s">
        <v>21</v>
      </c>
      <c r="I363" t="s">
        <v>22</v>
      </c>
      <c r="J363">
        <v>1507352400</v>
      </c>
      <c r="K363">
        <v>1509426000</v>
      </c>
      <c r="L363" t="b">
        <v>0</v>
      </c>
      <c r="M363" t="b">
        <v>0</v>
      </c>
      <c r="N363" t="s">
        <v>33</v>
      </c>
    </row>
    <row r="364" spans="1:14" ht="17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t="s">
        <v>20</v>
      </c>
      <c r="G364">
        <v>191</v>
      </c>
      <c r="H364" t="s">
        <v>21</v>
      </c>
      <c r="I364" t="s">
        <v>22</v>
      </c>
      <c r="J364">
        <v>1296108000</v>
      </c>
      <c r="K364">
        <v>1299391200</v>
      </c>
      <c r="L364" t="b">
        <v>0</v>
      </c>
      <c r="M364" t="b">
        <v>0</v>
      </c>
      <c r="N364" t="s">
        <v>23</v>
      </c>
    </row>
    <row r="365" spans="1:14" ht="17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t="s">
        <v>20</v>
      </c>
      <c r="G365">
        <v>139</v>
      </c>
      <c r="H365" t="s">
        <v>21</v>
      </c>
      <c r="I365" t="s">
        <v>22</v>
      </c>
      <c r="J365">
        <v>1324965600</v>
      </c>
      <c r="K365">
        <v>1325052000</v>
      </c>
      <c r="L365" t="b">
        <v>0</v>
      </c>
      <c r="M365" t="b">
        <v>0</v>
      </c>
      <c r="N365" t="s">
        <v>23</v>
      </c>
    </row>
    <row r="366" spans="1:14" ht="17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t="s">
        <v>20</v>
      </c>
      <c r="G366">
        <v>186</v>
      </c>
      <c r="H366" t="s">
        <v>21</v>
      </c>
      <c r="I366" t="s">
        <v>22</v>
      </c>
      <c r="J366">
        <v>1520229600</v>
      </c>
      <c r="K366">
        <v>1522818000</v>
      </c>
      <c r="L366" t="b">
        <v>0</v>
      </c>
      <c r="M366" t="b">
        <v>0</v>
      </c>
      <c r="N366" t="s">
        <v>60</v>
      </c>
    </row>
    <row r="367" spans="1:14" ht="17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t="s">
        <v>20</v>
      </c>
      <c r="G367">
        <v>112</v>
      </c>
      <c r="H367" t="s">
        <v>26</v>
      </c>
      <c r="I367" t="s">
        <v>27</v>
      </c>
      <c r="J367">
        <v>1482991200</v>
      </c>
      <c r="K367">
        <v>1485324000</v>
      </c>
      <c r="L367" t="b">
        <v>0</v>
      </c>
      <c r="M367" t="b">
        <v>0</v>
      </c>
      <c r="N367" t="s">
        <v>33</v>
      </c>
    </row>
    <row r="368" spans="1:14" ht="17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t="s">
        <v>20</v>
      </c>
      <c r="G368">
        <v>101</v>
      </c>
      <c r="H368" t="s">
        <v>21</v>
      </c>
      <c r="I368" t="s">
        <v>22</v>
      </c>
      <c r="J368">
        <v>1294034400</v>
      </c>
      <c r="K368">
        <v>1294120800</v>
      </c>
      <c r="L368" t="b">
        <v>0</v>
      </c>
      <c r="M368" t="b">
        <v>1</v>
      </c>
      <c r="N368" t="s">
        <v>33</v>
      </c>
    </row>
    <row r="369" spans="1:14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t="s">
        <v>14</v>
      </c>
      <c r="G369">
        <v>75</v>
      </c>
      <c r="H369" t="s">
        <v>21</v>
      </c>
      <c r="I369" t="s">
        <v>22</v>
      </c>
      <c r="J369">
        <v>1413608400</v>
      </c>
      <c r="K369">
        <v>1415685600</v>
      </c>
      <c r="L369" t="b">
        <v>0</v>
      </c>
      <c r="M369" t="b">
        <v>1</v>
      </c>
      <c r="N369" t="s">
        <v>33</v>
      </c>
    </row>
    <row r="370" spans="1:14" ht="17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t="s">
        <v>20</v>
      </c>
      <c r="G370">
        <v>206</v>
      </c>
      <c r="H370" t="s">
        <v>40</v>
      </c>
      <c r="I370" t="s">
        <v>41</v>
      </c>
      <c r="J370">
        <v>1286946000</v>
      </c>
      <c r="K370">
        <v>1288933200</v>
      </c>
      <c r="L370" t="b">
        <v>0</v>
      </c>
      <c r="M370" t="b">
        <v>1</v>
      </c>
      <c r="N370" t="s">
        <v>42</v>
      </c>
    </row>
    <row r="371" spans="1:14" ht="17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t="s">
        <v>20</v>
      </c>
      <c r="G371">
        <v>154</v>
      </c>
      <c r="H371" t="s">
        <v>21</v>
      </c>
      <c r="I371" t="s">
        <v>22</v>
      </c>
      <c r="J371">
        <v>1359871200</v>
      </c>
      <c r="K371">
        <v>1363237200</v>
      </c>
      <c r="L371" t="b">
        <v>0</v>
      </c>
      <c r="M371" t="b">
        <v>1</v>
      </c>
      <c r="N371" t="s">
        <v>269</v>
      </c>
    </row>
    <row r="372" spans="1:14" ht="17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t="s">
        <v>20</v>
      </c>
      <c r="G372">
        <v>5966</v>
      </c>
      <c r="H372" t="s">
        <v>21</v>
      </c>
      <c r="I372" t="s">
        <v>22</v>
      </c>
      <c r="J372">
        <v>1555304400</v>
      </c>
      <c r="K372">
        <v>1555822800</v>
      </c>
      <c r="L372" t="b">
        <v>0</v>
      </c>
      <c r="M372" t="b">
        <v>0</v>
      </c>
      <c r="N372" t="s">
        <v>33</v>
      </c>
    </row>
    <row r="373" spans="1:14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t="s">
        <v>14</v>
      </c>
      <c r="G373">
        <v>2176</v>
      </c>
      <c r="H373" t="s">
        <v>21</v>
      </c>
      <c r="I373" t="s">
        <v>22</v>
      </c>
      <c r="J373">
        <v>1423375200</v>
      </c>
      <c r="K373">
        <v>1427778000</v>
      </c>
      <c r="L373" t="b">
        <v>0</v>
      </c>
      <c r="M373" t="b">
        <v>0</v>
      </c>
      <c r="N373" t="s">
        <v>33</v>
      </c>
    </row>
    <row r="374" spans="1:14" ht="34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t="s">
        <v>20</v>
      </c>
      <c r="G374">
        <v>169</v>
      </c>
      <c r="H374" t="s">
        <v>21</v>
      </c>
      <c r="I374" t="s">
        <v>22</v>
      </c>
      <c r="J374">
        <v>1420696800</v>
      </c>
      <c r="K374">
        <v>1422424800</v>
      </c>
      <c r="L374" t="b">
        <v>0</v>
      </c>
      <c r="M374" t="b">
        <v>1</v>
      </c>
      <c r="N374" t="s">
        <v>42</v>
      </c>
    </row>
    <row r="375" spans="1:14" ht="17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t="s">
        <v>20</v>
      </c>
      <c r="G375">
        <v>2106</v>
      </c>
      <c r="H375" t="s">
        <v>21</v>
      </c>
      <c r="I375" t="s">
        <v>22</v>
      </c>
      <c r="J375">
        <v>1502946000</v>
      </c>
      <c r="K375">
        <v>1503637200</v>
      </c>
      <c r="L375" t="b">
        <v>0</v>
      </c>
      <c r="M375" t="b">
        <v>0</v>
      </c>
      <c r="N375" t="s">
        <v>33</v>
      </c>
    </row>
    <row r="376" spans="1:14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t="s">
        <v>14</v>
      </c>
      <c r="G376">
        <v>441</v>
      </c>
      <c r="H376" t="s">
        <v>21</v>
      </c>
      <c r="I376" t="s">
        <v>22</v>
      </c>
      <c r="J376">
        <v>1547186400</v>
      </c>
      <c r="K376">
        <v>1547618400</v>
      </c>
      <c r="L376" t="b">
        <v>0</v>
      </c>
      <c r="M376" t="b">
        <v>1</v>
      </c>
      <c r="N376" t="s">
        <v>42</v>
      </c>
    </row>
    <row r="377" spans="1:14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t="s">
        <v>14</v>
      </c>
      <c r="G377">
        <v>25</v>
      </c>
      <c r="H377" t="s">
        <v>21</v>
      </c>
      <c r="I377" t="s">
        <v>22</v>
      </c>
      <c r="J377">
        <v>1444971600</v>
      </c>
      <c r="K377">
        <v>1449900000</v>
      </c>
      <c r="L377" t="b">
        <v>0</v>
      </c>
      <c r="M377" t="b">
        <v>0</v>
      </c>
      <c r="N377" t="s">
        <v>60</v>
      </c>
    </row>
    <row r="378" spans="1:14" ht="17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t="s">
        <v>20</v>
      </c>
      <c r="G378">
        <v>131</v>
      </c>
      <c r="H378" t="s">
        <v>21</v>
      </c>
      <c r="I378" t="s">
        <v>22</v>
      </c>
      <c r="J378">
        <v>1404622800</v>
      </c>
      <c r="K378">
        <v>1405141200</v>
      </c>
      <c r="L378" t="b">
        <v>0</v>
      </c>
      <c r="M378" t="b">
        <v>0</v>
      </c>
      <c r="N378" t="s">
        <v>23</v>
      </c>
    </row>
    <row r="379" spans="1:14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t="s">
        <v>14</v>
      </c>
      <c r="G379">
        <v>127</v>
      </c>
      <c r="H379" t="s">
        <v>21</v>
      </c>
      <c r="I379" t="s">
        <v>22</v>
      </c>
      <c r="J379">
        <v>1571720400</v>
      </c>
      <c r="K379">
        <v>1572933600</v>
      </c>
      <c r="L379" t="b">
        <v>0</v>
      </c>
      <c r="M379" t="b">
        <v>0</v>
      </c>
      <c r="N379" t="s">
        <v>33</v>
      </c>
    </row>
    <row r="380" spans="1:14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t="s">
        <v>14</v>
      </c>
      <c r="G380">
        <v>355</v>
      </c>
      <c r="H380" t="s">
        <v>21</v>
      </c>
      <c r="I380" t="s">
        <v>22</v>
      </c>
      <c r="J380">
        <v>1526878800</v>
      </c>
      <c r="K380">
        <v>1530162000</v>
      </c>
      <c r="L380" t="b">
        <v>0</v>
      </c>
      <c r="M380" t="b">
        <v>0</v>
      </c>
      <c r="N380" t="s">
        <v>42</v>
      </c>
    </row>
    <row r="381" spans="1:14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t="s">
        <v>14</v>
      </c>
      <c r="G381">
        <v>44</v>
      </c>
      <c r="H381" t="s">
        <v>40</v>
      </c>
      <c r="I381" t="s">
        <v>41</v>
      </c>
      <c r="J381">
        <v>1319691600</v>
      </c>
      <c r="K381">
        <v>1320904800</v>
      </c>
      <c r="L381" t="b">
        <v>0</v>
      </c>
      <c r="M381" t="b">
        <v>0</v>
      </c>
      <c r="N381" t="s">
        <v>33</v>
      </c>
    </row>
    <row r="382" spans="1:14" ht="34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t="s">
        <v>20</v>
      </c>
      <c r="G382">
        <v>84</v>
      </c>
      <c r="H382" t="s">
        <v>21</v>
      </c>
      <c r="I382" t="s">
        <v>22</v>
      </c>
      <c r="J382">
        <v>1371963600</v>
      </c>
      <c r="K382">
        <v>1372395600</v>
      </c>
      <c r="L382" t="b">
        <v>0</v>
      </c>
      <c r="M382" t="b">
        <v>0</v>
      </c>
      <c r="N382" t="s">
        <v>33</v>
      </c>
    </row>
    <row r="383" spans="1:14" ht="17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t="s">
        <v>20</v>
      </c>
      <c r="G383">
        <v>155</v>
      </c>
      <c r="H383" t="s">
        <v>21</v>
      </c>
      <c r="I383" t="s">
        <v>22</v>
      </c>
      <c r="J383">
        <v>1433739600</v>
      </c>
      <c r="K383">
        <v>1437714000</v>
      </c>
      <c r="L383" t="b">
        <v>0</v>
      </c>
      <c r="M383" t="b">
        <v>0</v>
      </c>
      <c r="N383" t="s">
        <v>33</v>
      </c>
    </row>
    <row r="384" spans="1:14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t="s">
        <v>14</v>
      </c>
      <c r="G384">
        <v>67</v>
      </c>
      <c r="H384" t="s">
        <v>21</v>
      </c>
      <c r="I384" t="s">
        <v>22</v>
      </c>
      <c r="J384">
        <v>1508130000</v>
      </c>
      <c r="K384">
        <v>1509771600</v>
      </c>
      <c r="L384" t="b">
        <v>0</v>
      </c>
      <c r="M384" t="b">
        <v>0</v>
      </c>
      <c r="N384" t="s">
        <v>122</v>
      </c>
    </row>
    <row r="385" spans="1:14" ht="17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t="s">
        <v>20</v>
      </c>
      <c r="G385">
        <v>189</v>
      </c>
      <c r="H385" t="s">
        <v>21</v>
      </c>
      <c r="I385" t="s">
        <v>22</v>
      </c>
      <c r="J385">
        <v>1550037600</v>
      </c>
      <c r="K385">
        <v>1550556000</v>
      </c>
      <c r="L385" t="b">
        <v>0</v>
      </c>
      <c r="M385" t="b">
        <v>1</v>
      </c>
      <c r="N385" t="s">
        <v>17</v>
      </c>
    </row>
    <row r="386" spans="1:14" ht="17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t="s">
        <v>20</v>
      </c>
      <c r="G386">
        <v>4799</v>
      </c>
      <c r="H386" t="s">
        <v>21</v>
      </c>
      <c r="I386" t="s">
        <v>22</v>
      </c>
      <c r="J386">
        <v>1486706400</v>
      </c>
      <c r="K386">
        <v>1489039200</v>
      </c>
      <c r="L386" t="b">
        <v>1</v>
      </c>
      <c r="M386" t="b">
        <v>1</v>
      </c>
      <c r="N386" t="s">
        <v>42</v>
      </c>
    </row>
    <row r="387" spans="1:14" ht="34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t="s">
        <v>20</v>
      </c>
      <c r="G387">
        <v>1137</v>
      </c>
      <c r="H387" t="s">
        <v>21</v>
      </c>
      <c r="I387" t="s">
        <v>22</v>
      </c>
      <c r="J387">
        <v>1553835600</v>
      </c>
      <c r="K387">
        <v>1556600400</v>
      </c>
      <c r="L387" t="b">
        <v>0</v>
      </c>
      <c r="M387" t="b">
        <v>0</v>
      </c>
      <c r="N387" t="s">
        <v>68</v>
      </c>
    </row>
    <row r="388" spans="1:14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t="s">
        <v>14</v>
      </c>
      <c r="G388">
        <v>1068</v>
      </c>
      <c r="H388" t="s">
        <v>21</v>
      </c>
      <c r="I388" t="s">
        <v>22</v>
      </c>
      <c r="J388">
        <v>1277528400</v>
      </c>
      <c r="K388">
        <v>1278565200</v>
      </c>
      <c r="L388" t="b">
        <v>0</v>
      </c>
      <c r="M388" t="b">
        <v>0</v>
      </c>
      <c r="N388" t="s">
        <v>33</v>
      </c>
    </row>
    <row r="389" spans="1:14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t="s">
        <v>14</v>
      </c>
      <c r="G389">
        <v>424</v>
      </c>
      <c r="H389" t="s">
        <v>21</v>
      </c>
      <c r="I389" t="s">
        <v>22</v>
      </c>
      <c r="J389">
        <v>1339477200</v>
      </c>
      <c r="K389">
        <v>1339909200</v>
      </c>
      <c r="L389" t="b">
        <v>0</v>
      </c>
      <c r="M389" t="b">
        <v>0</v>
      </c>
      <c r="N389" t="s">
        <v>65</v>
      </c>
    </row>
    <row r="390" spans="1:14" ht="17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t="s">
        <v>74</v>
      </c>
      <c r="G390">
        <v>145</v>
      </c>
      <c r="H390" t="s">
        <v>98</v>
      </c>
      <c r="I390" t="s">
        <v>99</v>
      </c>
      <c r="J390">
        <v>1325656800</v>
      </c>
      <c r="K390">
        <v>1325829600</v>
      </c>
      <c r="L390" t="b">
        <v>0</v>
      </c>
      <c r="M390" t="b">
        <v>0</v>
      </c>
      <c r="N390" t="s">
        <v>60</v>
      </c>
    </row>
    <row r="391" spans="1:14" ht="17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t="s">
        <v>20</v>
      </c>
      <c r="G391">
        <v>1152</v>
      </c>
      <c r="H391" t="s">
        <v>21</v>
      </c>
      <c r="I391" t="s">
        <v>22</v>
      </c>
      <c r="J391">
        <v>1288242000</v>
      </c>
      <c r="K391">
        <v>1290578400</v>
      </c>
      <c r="L391" t="b">
        <v>0</v>
      </c>
      <c r="M391" t="b">
        <v>0</v>
      </c>
      <c r="N391" t="s">
        <v>33</v>
      </c>
    </row>
    <row r="392" spans="1:14" ht="17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t="s">
        <v>20</v>
      </c>
      <c r="G392">
        <v>50</v>
      </c>
      <c r="H392" t="s">
        <v>21</v>
      </c>
      <c r="I392" t="s">
        <v>22</v>
      </c>
      <c r="J392">
        <v>1379048400</v>
      </c>
      <c r="K392">
        <v>1380344400</v>
      </c>
      <c r="L392" t="b">
        <v>0</v>
      </c>
      <c r="M392" t="b">
        <v>0</v>
      </c>
      <c r="N392" t="s">
        <v>122</v>
      </c>
    </row>
    <row r="393" spans="1:14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t="s">
        <v>14</v>
      </c>
      <c r="G393">
        <v>151</v>
      </c>
      <c r="H393" t="s">
        <v>21</v>
      </c>
      <c r="I393" t="s">
        <v>22</v>
      </c>
      <c r="J393">
        <v>1389679200</v>
      </c>
      <c r="K393">
        <v>1389852000</v>
      </c>
      <c r="L393" t="b">
        <v>0</v>
      </c>
      <c r="M393" t="b">
        <v>0</v>
      </c>
      <c r="N393" t="s">
        <v>68</v>
      </c>
    </row>
    <row r="394" spans="1:14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t="s">
        <v>14</v>
      </c>
      <c r="G394">
        <v>1608</v>
      </c>
      <c r="H394" t="s">
        <v>21</v>
      </c>
      <c r="I394" t="s">
        <v>22</v>
      </c>
      <c r="J394">
        <v>1294293600</v>
      </c>
      <c r="K394">
        <v>1294466400</v>
      </c>
      <c r="L394" t="b">
        <v>0</v>
      </c>
      <c r="M394" t="b">
        <v>0</v>
      </c>
      <c r="N394" t="s">
        <v>65</v>
      </c>
    </row>
    <row r="395" spans="1:14" ht="17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t="s">
        <v>20</v>
      </c>
      <c r="G395">
        <v>3059</v>
      </c>
      <c r="H395" t="s">
        <v>15</v>
      </c>
      <c r="I395" t="s">
        <v>16</v>
      </c>
      <c r="J395">
        <v>1500267600</v>
      </c>
      <c r="K395">
        <v>1500354000</v>
      </c>
      <c r="L395" t="b">
        <v>0</v>
      </c>
      <c r="M395" t="b">
        <v>0</v>
      </c>
      <c r="N395" t="s">
        <v>159</v>
      </c>
    </row>
    <row r="396" spans="1:14" ht="17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t="s">
        <v>20</v>
      </c>
      <c r="G396">
        <v>34</v>
      </c>
      <c r="H396" t="s">
        <v>21</v>
      </c>
      <c r="I396" t="s">
        <v>22</v>
      </c>
      <c r="J396">
        <v>1375074000</v>
      </c>
      <c r="K396">
        <v>1375938000</v>
      </c>
      <c r="L396" t="b">
        <v>0</v>
      </c>
      <c r="M396" t="b">
        <v>1</v>
      </c>
      <c r="N396" t="s">
        <v>42</v>
      </c>
    </row>
    <row r="397" spans="1:14" ht="34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t="s">
        <v>20</v>
      </c>
      <c r="G397">
        <v>220</v>
      </c>
      <c r="H397" t="s">
        <v>21</v>
      </c>
      <c r="I397" t="s">
        <v>22</v>
      </c>
      <c r="J397">
        <v>1323324000</v>
      </c>
      <c r="K397">
        <v>1323410400</v>
      </c>
      <c r="L397" t="b">
        <v>1</v>
      </c>
      <c r="M397" t="b">
        <v>0</v>
      </c>
      <c r="N397" t="s">
        <v>33</v>
      </c>
    </row>
    <row r="398" spans="1:14" ht="17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t="s">
        <v>20</v>
      </c>
      <c r="G398">
        <v>1604</v>
      </c>
      <c r="H398" t="s">
        <v>26</v>
      </c>
      <c r="I398" t="s">
        <v>27</v>
      </c>
      <c r="J398">
        <v>1538715600</v>
      </c>
      <c r="K398">
        <v>1539406800</v>
      </c>
      <c r="L398" t="b">
        <v>0</v>
      </c>
      <c r="M398" t="b">
        <v>0</v>
      </c>
      <c r="N398" t="s">
        <v>53</v>
      </c>
    </row>
    <row r="399" spans="1:14" ht="17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t="s">
        <v>20</v>
      </c>
      <c r="G399">
        <v>454</v>
      </c>
      <c r="H399" t="s">
        <v>21</v>
      </c>
      <c r="I399" t="s">
        <v>22</v>
      </c>
      <c r="J399">
        <v>1369285200</v>
      </c>
      <c r="K399">
        <v>1369803600</v>
      </c>
      <c r="L399" t="b">
        <v>0</v>
      </c>
      <c r="M399" t="b">
        <v>0</v>
      </c>
      <c r="N399" t="s">
        <v>23</v>
      </c>
    </row>
    <row r="400" spans="1:14" ht="34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t="s">
        <v>20</v>
      </c>
      <c r="G400">
        <v>123</v>
      </c>
      <c r="H400" t="s">
        <v>107</v>
      </c>
      <c r="I400" t="s">
        <v>108</v>
      </c>
      <c r="J400">
        <v>1525755600</v>
      </c>
      <c r="K400">
        <v>1525928400</v>
      </c>
      <c r="L400" t="b">
        <v>0</v>
      </c>
      <c r="M400" t="b">
        <v>1</v>
      </c>
      <c r="N400" t="s">
        <v>71</v>
      </c>
    </row>
    <row r="401" spans="1:14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t="s">
        <v>14</v>
      </c>
      <c r="G401">
        <v>941</v>
      </c>
      <c r="H401" t="s">
        <v>21</v>
      </c>
      <c r="I401" t="s">
        <v>22</v>
      </c>
      <c r="J401">
        <v>1296626400</v>
      </c>
      <c r="K401">
        <v>1297231200</v>
      </c>
      <c r="L401" t="b">
        <v>0</v>
      </c>
      <c r="M401" t="b">
        <v>0</v>
      </c>
      <c r="N401" t="s">
        <v>60</v>
      </c>
    </row>
    <row r="402" spans="1:14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t="s">
        <v>14</v>
      </c>
      <c r="G402">
        <v>1</v>
      </c>
      <c r="H402" t="s">
        <v>21</v>
      </c>
      <c r="I402" t="s">
        <v>22</v>
      </c>
      <c r="J402">
        <v>1376629200</v>
      </c>
      <c r="K402">
        <v>1378530000</v>
      </c>
      <c r="L402" t="b">
        <v>0</v>
      </c>
      <c r="M402" t="b">
        <v>1</v>
      </c>
      <c r="N402" t="s">
        <v>122</v>
      </c>
    </row>
    <row r="403" spans="1:14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t="s">
        <v>20</v>
      </c>
      <c r="G403">
        <v>299</v>
      </c>
      <c r="H403" t="s">
        <v>21</v>
      </c>
      <c r="I403" t="s">
        <v>22</v>
      </c>
      <c r="J403">
        <v>1572152400</v>
      </c>
      <c r="K403">
        <v>1572152400</v>
      </c>
      <c r="L403" t="b">
        <v>0</v>
      </c>
      <c r="M403" t="b">
        <v>0</v>
      </c>
      <c r="N403" t="s">
        <v>33</v>
      </c>
    </row>
    <row r="404" spans="1:14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t="s">
        <v>14</v>
      </c>
      <c r="G404">
        <v>40</v>
      </c>
      <c r="H404" t="s">
        <v>21</v>
      </c>
      <c r="I404" t="s">
        <v>22</v>
      </c>
      <c r="J404">
        <v>1325829600</v>
      </c>
      <c r="K404">
        <v>1329890400</v>
      </c>
      <c r="L404" t="b">
        <v>0</v>
      </c>
      <c r="M404" t="b">
        <v>1</v>
      </c>
      <c r="N404" t="s">
        <v>100</v>
      </c>
    </row>
    <row r="405" spans="1:14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>
        <v>1276750800</v>
      </c>
      <c r="L405" t="b">
        <v>0</v>
      </c>
      <c r="M405" t="b">
        <v>1</v>
      </c>
      <c r="N405" t="s">
        <v>33</v>
      </c>
    </row>
    <row r="406" spans="1:14" ht="17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t="s">
        <v>20</v>
      </c>
      <c r="G406">
        <v>2237</v>
      </c>
      <c r="H406" t="s">
        <v>21</v>
      </c>
      <c r="I406" t="s">
        <v>22</v>
      </c>
      <c r="J406">
        <v>1510639200</v>
      </c>
      <c r="K406">
        <v>1510898400</v>
      </c>
      <c r="L406" t="b">
        <v>0</v>
      </c>
      <c r="M406" t="b">
        <v>0</v>
      </c>
      <c r="N406" t="s">
        <v>33</v>
      </c>
    </row>
    <row r="407" spans="1:14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t="s">
        <v>14</v>
      </c>
      <c r="G407">
        <v>435</v>
      </c>
      <c r="H407" t="s">
        <v>21</v>
      </c>
      <c r="I407" t="s">
        <v>22</v>
      </c>
      <c r="J407">
        <v>1528088400</v>
      </c>
      <c r="K407">
        <v>1532408400</v>
      </c>
      <c r="L407" t="b">
        <v>0</v>
      </c>
      <c r="M407" t="b">
        <v>0</v>
      </c>
      <c r="N407" t="s">
        <v>33</v>
      </c>
    </row>
    <row r="408" spans="1:14" ht="17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t="s">
        <v>20</v>
      </c>
      <c r="G408">
        <v>645</v>
      </c>
      <c r="H408" t="s">
        <v>21</v>
      </c>
      <c r="I408" t="s">
        <v>22</v>
      </c>
      <c r="J408">
        <v>1359525600</v>
      </c>
      <c r="K408">
        <v>1360562400</v>
      </c>
      <c r="L408" t="b">
        <v>1</v>
      </c>
      <c r="M408" t="b">
        <v>0</v>
      </c>
      <c r="N408" t="s">
        <v>42</v>
      </c>
    </row>
    <row r="409" spans="1:14" ht="17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t="s">
        <v>20</v>
      </c>
      <c r="G409">
        <v>484</v>
      </c>
      <c r="H409" t="s">
        <v>36</v>
      </c>
      <c r="I409" t="s">
        <v>37</v>
      </c>
      <c r="J409">
        <v>1570942800</v>
      </c>
      <c r="K409">
        <v>1571547600</v>
      </c>
      <c r="L409" t="b">
        <v>0</v>
      </c>
      <c r="M409" t="b">
        <v>0</v>
      </c>
      <c r="N409" t="s">
        <v>33</v>
      </c>
    </row>
    <row r="410" spans="1:14" ht="17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t="s">
        <v>20</v>
      </c>
      <c r="G410">
        <v>154</v>
      </c>
      <c r="H410" t="s">
        <v>15</v>
      </c>
      <c r="I410" t="s">
        <v>16</v>
      </c>
      <c r="J410">
        <v>1466398800</v>
      </c>
      <c r="K410">
        <v>1468126800</v>
      </c>
      <c r="L410" t="b">
        <v>0</v>
      </c>
      <c r="M410" t="b">
        <v>0</v>
      </c>
      <c r="N410" t="s">
        <v>42</v>
      </c>
    </row>
    <row r="411" spans="1:14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t="s">
        <v>14</v>
      </c>
      <c r="G411">
        <v>714</v>
      </c>
      <c r="H411" t="s">
        <v>21</v>
      </c>
      <c r="I411" t="s">
        <v>22</v>
      </c>
      <c r="J411">
        <v>1492491600</v>
      </c>
      <c r="K411">
        <v>1492837200</v>
      </c>
      <c r="L411" t="b">
        <v>0</v>
      </c>
      <c r="M411" t="b">
        <v>0</v>
      </c>
      <c r="N411" t="s">
        <v>23</v>
      </c>
    </row>
    <row r="412" spans="1:14" ht="17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t="s">
        <v>47</v>
      </c>
      <c r="G412">
        <v>1111</v>
      </c>
      <c r="H412" t="s">
        <v>21</v>
      </c>
      <c r="I412" t="s">
        <v>22</v>
      </c>
      <c r="J412">
        <v>1430197200</v>
      </c>
      <c r="K412">
        <v>1430197200</v>
      </c>
      <c r="L412" t="b">
        <v>0</v>
      </c>
      <c r="M412" t="b">
        <v>0</v>
      </c>
      <c r="N412" t="s">
        <v>292</v>
      </c>
    </row>
    <row r="413" spans="1:14" ht="17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t="s">
        <v>20</v>
      </c>
      <c r="G413">
        <v>82</v>
      </c>
      <c r="H413" t="s">
        <v>21</v>
      </c>
      <c r="I413" t="s">
        <v>22</v>
      </c>
      <c r="J413">
        <v>1496034000</v>
      </c>
      <c r="K413">
        <v>1496206800</v>
      </c>
      <c r="L413" t="b">
        <v>0</v>
      </c>
      <c r="M413" t="b">
        <v>0</v>
      </c>
      <c r="N413" t="s">
        <v>33</v>
      </c>
    </row>
    <row r="414" spans="1:14" ht="17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t="s">
        <v>20</v>
      </c>
      <c r="G414">
        <v>134</v>
      </c>
      <c r="H414" t="s">
        <v>21</v>
      </c>
      <c r="I414" t="s">
        <v>22</v>
      </c>
      <c r="J414">
        <v>1388728800</v>
      </c>
      <c r="K414">
        <v>1389592800</v>
      </c>
      <c r="L414" t="b">
        <v>0</v>
      </c>
      <c r="M414" t="b">
        <v>0</v>
      </c>
      <c r="N414" t="s">
        <v>119</v>
      </c>
    </row>
    <row r="415" spans="1:14" ht="17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t="s">
        <v>47</v>
      </c>
      <c r="G415">
        <v>1089</v>
      </c>
      <c r="H415" t="s">
        <v>21</v>
      </c>
      <c r="I415" t="s">
        <v>22</v>
      </c>
      <c r="J415">
        <v>1543298400</v>
      </c>
      <c r="K415">
        <v>1545631200</v>
      </c>
      <c r="L415" t="b">
        <v>0</v>
      </c>
      <c r="M415" t="b">
        <v>0</v>
      </c>
      <c r="N415" t="s">
        <v>71</v>
      </c>
    </row>
    <row r="416" spans="1:14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t="s">
        <v>14</v>
      </c>
      <c r="G416">
        <v>5497</v>
      </c>
      <c r="H416" t="s">
        <v>21</v>
      </c>
      <c r="I416" t="s">
        <v>22</v>
      </c>
      <c r="J416">
        <v>1271739600</v>
      </c>
      <c r="K416">
        <v>1272430800</v>
      </c>
      <c r="L416" t="b">
        <v>0</v>
      </c>
      <c r="M416" t="b">
        <v>1</v>
      </c>
      <c r="N416" t="s">
        <v>17</v>
      </c>
    </row>
    <row r="417" spans="1:14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t="s">
        <v>14</v>
      </c>
      <c r="G417">
        <v>418</v>
      </c>
      <c r="H417" t="s">
        <v>21</v>
      </c>
      <c r="I417" t="s">
        <v>22</v>
      </c>
      <c r="J417">
        <v>1326434400</v>
      </c>
      <c r="K417">
        <v>1327903200</v>
      </c>
      <c r="L417" t="b">
        <v>0</v>
      </c>
      <c r="M417" t="b">
        <v>0</v>
      </c>
      <c r="N417" t="s">
        <v>33</v>
      </c>
    </row>
    <row r="418" spans="1:14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t="s">
        <v>14</v>
      </c>
      <c r="G418">
        <v>1439</v>
      </c>
      <c r="H418" t="s">
        <v>21</v>
      </c>
      <c r="I418" t="s">
        <v>22</v>
      </c>
      <c r="J418">
        <v>1295244000</v>
      </c>
      <c r="K418">
        <v>1296021600</v>
      </c>
      <c r="L418" t="b">
        <v>0</v>
      </c>
      <c r="M418" t="b">
        <v>1</v>
      </c>
      <c r="N418" t="s">
        <v>42</v>
      </c>
    </row>
    <row r="419" spans="1:14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t="s">
        <v>14</v>
      </c>
      <c r="G419">
        <v>15</v>
      </c>
      <c r="H419" t="s">
        <v>21</v>
      </c>
      <c r="I419" t="s">
        <v>22</v>
      </c>
      <c r="J419">
        <v>1541221200</v>
      </c>
      <c r="K419">
        <v>1543298400</v>
      </c>
      <c r="L419" t="b">
        <v>0</v>
      </c>
      <c r="M419" t="b">
        <v>0</v>
      </c>
      <c r="N419" t="s">
        <v>33</v>
      </c>
    </row>
    <row r="420" spans="1:14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>
        <v>1336366800</v>
      </c>
      <c r="L420" t="b">
        <v>0</v>
      </c>
      <c r="M420" t="b">
        <v>0</v>
      </c>
      <c r="N420" t="s">
        <v>42</v>
      </c>
    </row>
    <row r="421" spans="1:14" ht="17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t="s">
        <v>20</v>
      </c>
      <c r="G421">
        <v>5203</v>
      </c>
      <c r="H421" t="s">
        <v>21</v>
      </c>
      <c r="I421" t="s">
        <v>22</v>
      </c>
      <c r="J421">
        <v>1324533600</v>
      </c>
      <c r="K421">
        <v>1325052000</v>
      </c>
      <c r="L421" t="b">
        <v>0</v>
      </c>
      <c r="M421" t="b">
        <v>0</v>
      </c>
      <c r="N421" t="s">
        <v>28</v>
      </c>
    </row>
    <row r="422" spans="1:14" ht="17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t="s">
        <v>20</v>
      </c>
      <c r="G422">
        <v>94</v>
      </c>
      <c r="H422" t="s">
        <v>21</v>
      </c>
      <c r="I422" t="s">
        <v>22</v>
      </c>
      <c r="J422">
        <v>1498366800</v>
      </c>
      <c r="K422">
        <v>1499576400</v>
      </c>
      <c r="L422" t="b">
        <v>0</v>
      </c>
      <c r="M422" t="b">
        <v>0</v>
      </c>
      <c r="N422" t="s">
        <v>33</v>
      </c>
    </row>
    <row r="423" spans="1:14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t="s">
        <v>14</v>
      </c>
      <c r="G423">
        <v>118</v>
      </c>
      <c r="H423" t="s">
        <v>21</v>
      </c>
      <c r="I423" t="s">
        <v>22</v>
      </c>
      <c r="J423">
        <v>1498712400</v>
      </c>
      <c r="K423">
        <v>1501304400</v>
      </c>
      <c r="L423" t="b">
        <v>0</v>
      </c>
      <c r="M423" t="b">
        <v>1</v>
      </c>
      <c r="N423" t="s">
        <v>65</v>
      </c>
    </row>
    <row r="424" spans="1:14" ht="34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t="s">
        <v>20</v>
      </c>
      <c r="G424">
        <v>205</v>
      </c>
      <c r="H424" t="s">
        <v>21</v>
      </c>
      <c r="I424" t="s">
        <v>22</v>
      </c>
      <c r="J424">
        <v>1271480400</v>
      </c>
      <c r="K424">
        <v>1273208400</v>
      </c>
      <c r="L424" t="b">
        <v>0</v>
      </c>
      <c r="M424" t="b">
        <v>1</v>
      </c>
      <c r="N424" t="s">
        <v>33</v>
      </c>
    </row>
    <row r="425" spans="1:14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t="s">
        <v>14</v>
      </c>
      <c r="G425">
        <v>162</v>
      </c>
      <c r="H425" t="s">
        <v>21</v>
      </c>
      <c r="I425" t="s">
        <v>22</v>
      </c>
      <c r="J425">
        <v>1316667600</v>
      </c>
      <c r="K425">
        <v>1316840400</v>
      </c>
      <c r="L425" t="b">
        <v>0</v>
      </c>
      <c r="M425" t="b">
        <v>1</v>
      </c>
      <c r="N425" t="s">
        <v>17</v>
      </c>
    </row>
    <row r="426" spans="1:14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t="s">
        <v>14</v>
      </c>
      <c r="G426">
        <v>83</v>
      </c>
      <c r="H426" t="s">
        <v>21</v>
      </c>
      <c r="I426" t="s">
        <v>22</v>
      </c>
      <c r="J426">
        <v>1524027600</v>
      </c>
      <c r="K426">
        <v>1524546000</v>
      </c>
      <c r="L426" t="b">
        <v>0</v>
      </c>
      <c r="M426" t="b">
        <v>0</v>
      </c>
      <c r="N426" t="s">
        <v>60</v>
      </c>
    </row>
    <row r="427" spans="1:14" ht="17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t="s">
        <v>20</v>
      </c>
      <c r="G427">
        <v>92</v>
      </c>
      <c r="H427" t="s">
        <v>21</v>
      </c>
      <c r="I427" t="s">
        <v>22</v>
      </c>
      <c r="J427">
        <v>1438059600</v>
      </c>
      <c r="K427">
        <v>1438578000</v>
      </c>
      <c r="L427" t="b">
        <v>0</v>
      </c>
      <c r="M427" t="b">
        <v>0</v>
      </c>
      <c r="N427" t="s">
        <v>122</v>
      </c>
    </row>
    <row r="428" spans="1:14" ht="17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t="s">
        <v>20</v>
      </c>
      <c r="G428">
        <v>219</v>
      </c>
      <c r="H428" t="s">
        <v>21</v>
      </c>
      <c r="I428" t="s">
        <v>22</v>
      </c>
      <c r="J428">
        <v>1361944800</v>
      </c>
      <c r="K428">
        <v>1362549600</v>
      </c>
      <c r="L428" t="b">
        <v>0</v>
      </c>
      <c r="M428" t="b">
        <v>0</v>
      </c>
      <c r="N428" t="s">
        <v>33</v>
      </c>
    </row>
    <row r="429" spans="1:14" ht="17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t="s">
        <v>20</v>
      </c>
      <c r="G429">
        <v>2526</v>
      </c>
      <c r="H429" t="s">
        <v>21</v>
      </c>
      <c r="I429" t="s">
        <v>22</v>
      </c>
      <c r="J429">
        <v>1410584400</v>
      </c>
      <c r="K429">
        <v>1413349200</v>
      </c>
      <c r="L429" t="b">
        <v>0</v>
      </c>
      <c r="M429" t="b">
        <v>1</v>
      </c>
      <c r="N429" t="s">
        <v>33</v>
      </c>
    </row>
    <row r="430" spans="1:14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t="s">
        <v>14</v>
      </c>
      <c r="G430">
        <v>747</v>
      </c>
      <c r="H430" t="s">
        <v>21</v>
      </c>
      <c r="I430" t="s">
        <v>22</v>
      </c>
      <c r="J430">
        <v>1297404000</v>
      </c>
      <c r="K430">
        <v>1298008800</v>
      </c>
      <c r="L430" t="b">
        <v>0</v>
      </c>
      <c r="M430" t="b">
        <v>0</v>
      </c>
      <c r="N430" t="s">
        <v>71</v>
      </c>
    </row>
    <row r="431" spans="1:14" ht="17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t="s">
        <v>74</v>
      </c>
      <c r="G431">
        <v>2138</v>
      </c>
      <c r="H431" t="s">
        <v>21</v>
      </c>
      <c r="I431" t="s">
        <v>22</v>
      </c>
      <c r="J431">
        <v>1392012000</v>
      </c>
      <c r="K431">
        <v>1394427600</v>
      </c>
      <c r="L431" t="b">
        <v>0</v>
      </c>
      <c r="M431" t="b">
        <v>1</v>
      </c>
      <c r="N431" t="s">
        <v>122</v>
      </c>
    </row>
    <row r="432" spans="1:14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t="s">
        <v>14</v>
      </c>
      <c r="G432">
        <v>84</v>
      </c>
      <c r="H432" t="s">
        <v>21</v>
      </c>
      <c r="I432" t="s">
        <v>22</v>
      </c>
      <c r="J432">
        <v>1569733200</v>
      </c>
      <c r="K432">
        <v>1572670800</v>
      </c>
      <c r="L432" t="b">
        <v>0</v>
      </c>
      <c r="M432" t="b">
        <v>0</v>
      </c>
      <c r="N432" t="s">
        <v>33</v>
      </c>
    </row>
    <row r="433" spans="1:14" ht="17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t="s">
        <v>20</v>
      </c>
      <c r="G433">
        <v>94</v>
      </c>
      <c r="H433" t="s">
        <v>21</v>
      </c>
      <c r="I433" t="s">
        <v>22</v>
      </c>
      <c r="J433">
        <v>1529643600</v>
      </c>
      <c r="K433">
        <v>1531112400</v>
      </c>
      <c r="L433" t="b">
        <v>1</v>
      </c>
      <c r="M433" t="b">
        <v>0</v>
      </c>
      <c r="N433" t="s">
        <v>33</v>
      </c>
    </row>
    <row r="434" spans="1:14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t="s">
        <v>14</v>
      </c>
      <c r="G434">
        <v>91</v>
      </c>
      <c r="H434" t="s">
        <v>21</v>
      </c>
      <c r="I434" t="s">
        <v>22</v>
      </c>
      <c r="J434">
        <v>1399006800</v>
      </c>
      <c r="K434">
        <v>1400734800</v>
      </c>
      <c r="L434" t="b">
        <v>0</v>
      </c>
      <c r="M434" t="b">
        <v>0</v>
      </c>
      <c r="N434" t="s">
        <v>33</v>
      </c>
    </row>
    <row r="435" spans="1:14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t="s">
        <v>14</v>
      </c>
      <c r="G435">
        <v>792</v>
      </c>
      <c r="H435" t="s">
        <v>21</v>
      </c>
      <c r="I435" t="s">
        <v>22</v>
      </c>
      <c r="J435">
        <v>1385359200</v>
      </c>
      <c r="K435">
        <v>1386741600</v>
      </c>
      <c r="L435" t="b">
        <v>0</v>
      </c>
      <c r="M435" t="b">
        <v>1</v>
      </c>
      <c r="N435" t="s">
        <v>42</v>
      </c>
    </row>
    <row r="436" spans="1:14" ht="17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t="s">
        <v>74</v>
      </c>
      <c r="G436">
        <v>10</v>
      </c>
      <c r="H436" t="s">
        <v>15</v>
      </c>
      <c r="I436" t="s">
        <v>16</v>
      </c>
      <c r="J436">
        <v>1480572000</v>
      </c>
      <c r="K436">
        <v>1481781600</v>
      </c>
      <c r="L436" t="b">
        <v>1</v>
      </c>
      <c r="M436" t="b">
        <v>0</v>
      </c>
      <c r="N436" t="s">
        <v>33</v>
      </c>
    </row>
    <row r="437" spans="1:14" ht="17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t="s">
        <v>20</v>
      </c>
      <c r="G437">
        <v>1713</v>
      </c>
      <c r="H437" t="s">
        <v>107</v>
      </c>
      <c r="I437" t="s">
        <v>108</v>
      </c>
      <c r="J437">
        <v>1418623200</v>
      </c>
      <c r="K437">
        <v>1419660000</v>
      </c>
      <c r="L437" t="b">
        <v>0</v>
      </c>
      <c r="M437" t="b">
        <v>1</v>
      </c>
      <c r="N437" t="s">
        <v>33</v>
      </c>
    </row>
    <row r="438" spans="1:14" ht="17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t="s">
        <v>20</v>
      </c>
      <c r="G438">
        <v>249</v>
      </c>
      <c r="H438" t="s">
        <v>21</v>
      </c>
      <c r="I438" t="s">
        <v>22</v>
      </c>
      <c r="J438">
        <v>1555736400</v>
      </c>
      <c r="K438">
        <v>1555822800</v>
      </c>
      <c r="L438" t="b">
        <v>0</v>
      </c>
      <c r="M438" t="b">
        <v>0</v>
      </c>
      <c r="N438" t="s">
        <v>159</v>
      </c>
    </row>
    <row r="439" spans="1:14" ht="17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t="s">
        <v>20</v>
      </c>
      <c r="G439">
        <v>192</v>
      </c>
      <c r="H439" t="s">
        <v>21</v>
      </c>
      <c r="I439" t="s">
        <v>22</v>
      </c>
      <c r="J439">
        <v>1442120400</v>
      </c>
      <c r="K439">
        <v>1442379600</v>
      </c>
      <c r="L439" t="b">
        <v>0</v>
      </c>
      <c r="M439" t="b">
        <v>1</v>
      </c>
      <c r="N439" t="s">
        <v>71</v>
      </c>
    </row>
    <row r="440" spans="1:14" ht="34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t="s">
        <v>20</v>
      </c>
      <c r="G440">
        <v>247</v>
      </c>
      <c r="H440" t="s">
        <v>21</v>
      </c>
      <c r="I440" t="s">
        <v>22</v>
      </c>
      <c r="J440">
        <v>1362376800</v>
      </c>
      <c r="K440">
        <v>1364965200</v>
      </c>
      <c r="L440" t="b">
        <v>0</v>
      </c>
      <c r="M440" t="b">
        <v>0</v>
      </c>
      <c r="N440" t="s">
        <v>33</v>
      </c>
    </row>
    <row r="441" spans="1:14" ht="17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t="s">
        <v>20</v>
      </c>
      <c r="G441">
        <v>2293</v>
      </c>
      <c r="H441" t="s">
        <v>21</v>
      </c>
      <c r="I441" t="s">
        <v>22</v>
      </c>
      <c r="J441">
        <v>1478408400</v>
      </c>
      <c r="K441">
        <v>1479016800</v>
      </c>
      <c r="L441" t="b">
        <v>0</v>
      </c>
      <c r="M441" t="b">
        <v>0</v>
      </c>
      <c r="N441" t="s">
        <v>474</v>
      </c>
    </row>
    <row r="442" spans="1:14" ht="17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t="s">
        <v>20</v>
      </c>
      <c r="G442">
        <v>3131</v>
      </c>
      <c r="H442" t="s">
        <v>21</v>
      </c>
      <c r="I442" t="s">
        <v>22</v>
      </c>
      <c r="J442">
        <v>1498798800</v>
      </c>
      <c r="K442">
        <v>1499662800</v>
      </c>
      <c r="L442" t="b">
        <v>0</v>
      </c>
      <c r="M442" t="b">
        <v>0</v>
      </c>
      <c r="N442" t="s">
        <v>269</v>
      </c>
    </row>
    <row r="443" spans="1:14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t="s">
        <v>14</v>
      </c>
      <c r="G443">
        <v>32</v>
      </c>
      <c r="H443" t="s">
        <v>21</v>
      </c>
      <c r="I443" t="s">
        <v>22</v>
      </c>
      <c r="J443">
        <v>1335416400</v>
      </c>
      <c r="K443">
        <v>1337835600</v>
      </c>
      <c r="L443" t="b">
        <v>0</v>
      </c>
      <c r="M443" t="b">
        <v>0</v>
      </c>
      <c r="N443" t="s">
        <v>65</v>
      </c>
    </row>
    <row r="444" spans="1:14" ht="17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t="s">
        <v>20</v>
      </c>
      <c r="G444">
        <v>143</v>
      </c>
      <c r="H444" t="s">
        <v>107</v>
      </c>
      <c r="I444" t="s">
        <v>108</v>
      </c>
      <c r="J444">
        <v>1504328400</v>
      </c>
      <c r="K444">
        <v>1505710800</v>
      </c>
      <c r="L444" t="b">
        <v>0</v>
      </c>
      <c r="M444" t="b">
        <v>0</v>
      </c>
      <c r="N444" t="s">
        <v>33</v>
      </c>
    </row>
    <row r="445" spans="1:14" ht="17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t="s">
        <v>74</v>
      </c>
      <c r="G445">
        <v>90</v>
      </c>
      <c r="H445" t="s">
        <v>21</v>
      </c>
      <c r="I445" t="s">
        <v>22</v>
      </c>
      <c r="J445">
        <v>1285822800</v>
      </c>
      <c r="K445">
        <v>1287464400</v>
      </c>
      <c r="L445" t="b">
        <v>0</v>
      </c>
      <c r="M445" t="b">
        <v>0</v>
      </c>
      <c r="N445" t="s">
        <v>33</v>
      </c>
    </row>
    <row r="446" spans="1:14" ht="17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t="s">
        <v>20</v>
      </c>
      <c r="G446">
        <v>296</v>
      </c>
      <c r="H446" t="s">
        <v>21</v>
      </c>
      <c r="I446" t="s">
        <v>22</v>
      </c>
      <c r="J446">
        <v>1311483600</v>
      </c>
      <c r="K446">
        <v>1311656400</v>
      </c>
      <c r="L446" t="b">
        <v>0</v>
      </c>
      <c r="M446" t="b">
        <v>1</v>
      </c>
      <c r="N446" t="s">
        <v>60</v>
      </c>
    </row>
    <row r="447" spans="1:14" ht="34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t="s">
        <v>20</v>
      </c>
      <c r="G447">
        <v>170</v>
      </c>
      <c r="H447" t="s">
        <v>21</v>
      </c>
      <c r="I447" t="s">
        <v>22</v>
      </c>
      <c r="J447">
        <v>1291356000</v>
      </c>
      <c r="K447">
        <v>1293170400</v>
      </c>
      <c r="L447" t="b">
        <v>0</v>
      </c>
      <c r="M447" t="b">
        <v>1</v>
      </c>
      <c r="N447" t="s">
        <v>33</v>
      </c>
    </row>
    <row r="448" spans="1:14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t="s">
        <v>14</v>
      </c>
      <c r="G448">
        <v>186</v>
      </c>
      <c r="H448" t="s">
        <v>21</v>
      </c>
      <c r="I448" t="s">
        <v>22</v>
      </c>
      <c r="J448">
        <v>1355810400</v>
      </c>
      <c r="K448">
        <v>1355983200</v>
      </c>
      <c r="L448" t="b">
        <v>0</v>
      </c>
      <c r="M448" t="b">
        <v>0</v>
      </c>
      <c r="N448" t="s">
        <v>65</v>
      </c>
    </row>
    <row r="449" spans="1:14" ht="34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t="s">
        <v>74</v>
      </c>
      <c r="G449">
        <v>439</v>
      </c>
      <c r="H449" t="s">
        <v>40</v>
      </c>
      <c r="I449" t="s">
        <v>41</v>
      </c>
      <c r="J449">
        <v>1513663200</v>
      </c>
      <c r="K449">
        <v>1515045600</v>
      </c>
      <c r="L449" t="b">
        <v>0</v>
      </c>
      <c r="M449" t="b">
        <v>0</v>
      </c>
      <c r="N449" t="s">
        <v>269</v>
      </c>
    </row>
    <row r="450" spans="1:14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t="s">
        <v>14</v>
      </c>
      <c r="G450">
        <v>605</v>
      </c>
      <c r="H450" t="s">
        <v>21</v>
      </c>
      <c r="I450" t="s">
        <v>22</v>
      </c>
      <c r="J450">
        <v>1365915600</v>
      </c>
      <c r="K450">
        <v>1366088400</v>
      </c>
      <c r="L450" t="b">
        <v>0</v>
      </c>
      <c r="M450" t="b">
        <v>1</v>
      </c>
      <c r="N450" t="s">
        <v>89</v>
      </c>
    </row>
    <row r="451" spans="1:14" ht="17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t="s">
        <v>20</v>
      </c>
      <c r="G451">
        <v>86</v>
      </c>
      <c r="H451" t="s">
        <v>36</v>
      </c>
      <c r="I451" t="s">
        <v>37</v>
      </c>
      <c r="J451">
        <v>1551852000</v>
      </c>
      <c r="K451">
        <v>1553317200</v>
      </c>
      <c r="L451" t="b">
        <v>0</v>
      </c>
      <c r="M451" t="b">
        <v>0</v>
      </c>
      <c r="N451" t="s">
        <v>89</v>
      </c>
    </row>
    <row r="452" spans="1:14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>
        <v>1542088800</v>
      </c>
      <c r="L452" t="b">
        <v>0</v>
      </c>
      <c r="M452" t="b">
        <v>0</v>
      </c>
      <c r="N452" t="s">
        <v>71</v>
      </c>
    </row>
    <row r="453" spans="1:14" ht="17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t="s">
        <v>20</v>
      </c>
      <c r="G453">
        <v>6286</v>
      </c>
      <c r="H453" t="s">
        <v>21</v>
      </c>
      <c r="I453" t="s">
        <v>22</v>
      </c>
      <c r="J453">
        <v>1500440400</v>
      </c>
      <c r="K453">
        <v>1503118800</v>
      </c>
      <c r="L453" t="b">
        <v>0</v>
      </c>
      <c r="M453" t="b">
        <v>0</v>
      </c>
      <c r="N453" t="s">
        <v>23</v>
      </c>
    </row>
    <row r="454" spans="1:14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t="s">
        <v>14</v>
      </c>
      <c r="G454">
        <v>31</v>
      </c>
      <c r="H454" t="s">
        <v>21</v>
      </c>
      <c r="I454" t="s">
        <v>22</v>
      </c>
      <c r="J454">
        <v>1278392400</v>
      </c>
      <c r="K454">
        <v>1278478800</v>
      </c>
      <c r="L454" t="b">
        <v>0</v>
      </c>
      <c r="M454" t="b">
        <v>0</v>
      </c>
      <c r="N454" t="s">
        <v>53</v>
      </c>
    </row>
    <row r="455" spans="1:14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t="s">
        <v>14</v>
      </c>
      <c r="G455">
        <v>1181</v>
      </c>
      <c r="H455" t="s">
        <v>21</v>
      </c>
      <c r="I455" t="s">
        <v>22</v>
      </c>
      <c r="J455">
        <v>1480572000</v>
      </c>
      <c r="K455">
        <v>1484114400</v>
      </c>
      <c r="L455" t="b">
        <v>0</v>
      </c>
      <c r="M455" t="b">
        <v>0</v>
      </c>
      <c r="N455" t="s">
        <v>474</v>
      </c>
    </row>
    <row r="456" spans="1:14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t="s">
        <v>14</v>
      </c>
      <c r="G456">
        <v>39</v>
      </c>
      <c r="H456" t="s">
        <v>21</v>
      </c>
      <c r="I456" t="s">
        <v>22</v>
      </c>
      <c r="J456">
        <v>1382331600</v>
      </c>
      <c r="K456">
        <v>1385445600</v>
      </c>
      <c r="L456" t="b">
        <v>0</v>
      </c>
      <c r="M456" t="b">
        <v>1</v>
      </c>
      <c r="N456" t="s">
        <v>53</v>
      </c>
    </row>
    <row r="457" spans="1:14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t="s">
        <v>20</v>
      </c>
      <c r="G457">
        <v>3727</v>
      </c>
      <c r="H457" t="s">
        <v>21</v>
      </c>
      <c r="I457" t="s">
        <v>22</v>
      </c>
      <c r="J457">
        <v>1316754000</v>
      </c>
      <c r="K457">
        <v>1318741200</v>
      </c>
      <c r="L457" t="b">
        <v>0</v>
      </c>
      <c r="M457" t="b">
        <v>0</v>
      </c>
      <c r="N457" t="s">
        <v>33</v>
      </c>
    </row>
    <row r="458" spans="1:14" ht="34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t="s">
        <v>20</v>
      </c>
      <c r="G458">
        <v>1605</v>
      </c>
      <c r="H458" t="s">
        <v>21</v>
      </c>
      <c r="I458" t="s">
        <v>22</v>
      </c>
      <c r="J458">
        <v>1518242400</v>
      </c>
      <c r="K458">
        <v>1518242400</v>
      </c>
      <c r="L458" t="b">
        <v>0</v>
      </c>
      <c r="M458" t="b">
        <v>1</v>
      </c>
      <c r="N458" t="s">
        <v>60</v>
      </c>
    </row>
    <row r="459" spans="1:14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t="s">
        <v>14</v>
      </c>
      <c r="G459">
        <v>46</v>
      </c>
      <c r="H459" t="s">
        <v>21</v>
      </c>
      <c r="I459" t="s">
        <v>22</v>
      </c>
      <c r="J459">
        <v>1476421200</v>
      </c>
      <c r="K459">
        <v>1476594000</v>
      </c>
      <c r="L459" t="b">
        <v>0</v>
      </c>
      <c r="M459" t="b">
        <v>0</v>
      </c>
      <c r="N459" t="s">
        <v>33</v>
      </c>
    </row>
    <row r="460" spans="1:14" ht="17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t="s">
        <v>20</v>
      </c>
      <c r="G460">
        <v>2120</v>
      </c>
      <c r="H460" t="s">
        <v>21</v>
      </c>
      <c r="I460" t="s">
        <v>22</v>
      </c>
      <c r="J460">
        <v>1269752400</v>
      </c>
      <c r="K460">
        <v>1273554000</v>
      </c>
      <c r="L460" t="b">
        <v>0</v>
      </c>
      <c r="M460" t="b">
        <v>0</v>
      </c>
      <c r="N460" t="s">
        <v>33</v>
      </c>
    </row>
    <row r="461" spans="1:14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t="s">
        <v>14</v>
      </c>
      <c r="G461">
        <v>105</v>
      </c>
      <c r="H461" t="s">
        <v>21</v>
      </c>
      <c r="I461" t="s">
        <v>22</v>
      </c>
      <c r="J461">
        <v>1419746400</v>
      </c>
      <c r="K461">
        <v>1421906400</v>
      </c>
      <c r="L461" t="b">
        <v>0</v>
      </c>
      <c r="M461" t="b">
        <v>0</v>
      </c>
      <c r="N461" t="s">
        <v>42</v>
      </c>
    </row>
    <row r="462" spans="1:14" ht="17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t="s">
        <v>20</v>
      </c>
      <c r="G462">
        <v>50</v>
      </c>
      <c r="H462" t="s">
        <v>21</v>
      </c>
      <c r="I462" t="s">
        <v>22</v>
      </c>
      <c r="J462">
        <v>1281330000</v>
      </c>
      <c r="K462">
        <v>1281589200</v>
      </c>
      <c r="L462" t="b">
        <v>0</v>
      </c>
      <c r="M462" t="b">
        <v>0</v>
      </c>
      <c r="N462" t="s">
        <v>33</v>
      </c>
    </row>
    <row r="463" spans="1:14" ht="17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t="s">
        <v>20</v>
      </c>
      <c r="G463">
        <v>2080</v>
      </c>
      <c r="H463" t="s">
        <v>21</v>
      </c>
      <c r="I463" t="s">
        <v>22</v>
      </c>
      <c r="J463">
        <v>1398661200</v>
      </c>
      <c r="K463">
        <v>1400389200</v>
      </c>
      <c r="L463" t="b">
        <v>0</v>
      </c>
      <c r="M463" t="b">
        <v>0</v>
      </c>
      <c r="N463" t="s">
        <v>53</v>
      </c>
    </row>
    <row r="464" spans="1:14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t="s">
        <v>14</v>
      </c>
      <c r="G464">
        <v>535</v>
      </c>
      <c r="H464" t="s">
        <v>21</v>
      </c>
      <c r="I464" t="s">
        <v>22</v>
      </c>
      <c r="J464">
        <v>1359525600</v>
      </c>
      <c r="K464">
        <v>1362808800</v>
      </c>
      <c r="L464" t="b">
        <v>0</v>
      </c>
      <c r="M464" t="b">
        <v>0</v>
      </c>
      <c r="N464" t="s">
        <v>292</v>
      </c>
    </row>
    <row r="465" spans="1:14" ht="34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t="s">
        <v>20</v>
      </c>
      <c r="G465">
        <v>2105</v>
      </c>
      <c r="H465" t="s">
        <v>21</v>
      </c>
      <c r="I465" t="s">
        <v>22</v>
      </c>
      <c r="J465">
        <v>1388469600</v>
      </c>
      <c r="K465">
        <v>1388815200</v>
      </c>
      <c r="L465" t="b">
        <v>0</v>
      </c>
      <c r="M465" t="b">
        <v>0</v>
      </c>
      <c r="N465" t="s">
        <v>71</v>
      </c>
    </row>
    <row r="466" spans="1:14" ht="17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t="s">
        <v>20</v>
      </c>
      <c r="G466">
        <v>2436</v>
      </c>
      <c r="H466" t="s">
        <v>21</v>
      </c>
      <c r="I466" t="s">
        <v>22</v>
      </c>
      <c r="J466">
        <v>1518328800</v>
      </c>
      <c r="K466">
        <v>1519538400</v>
      </c>
      <c r="L466" t="b">
        <v>0</v>
      </c>
      <c r="M466" t="b">
        <v>0</v>
      </c>
      <c r="N466" t="s">
        <v>33</v>
      </c>
    </row>
    <row r="467" spans="1:14" ht="17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t="s">
        <v>20</v>
      </c>
      <c r="G467">
        <v>80</v>
      </c>
      <c r="H467" t="s">
        <v>21</v>
      </c>
      <c r="I467" t="s">
        <v>22</v>
      </c>
      <c r="J467">
        <v>1517032800</v>
      </c>
      <c r="K467">
        <v>1517810400</v>
      </c>
      <c r="L467" t="b">
        <v>0</v>
      </c>
      <c r="M467" t="b">
        <v>0</v>
      </c>
      <c r="N467" t="s">
        <v>206</v>
      </c>
    </row>
    <row r="468" spans="1:14" ht="17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t="s">
        <v>20</v>
      </c>
      <c r="G468">
        <v>42</v>
      </c>
      <c r="H468" t="s">
        <v>21</v>
      </c>
      <c r="I468" t="s">
        <v>22</v>
      </c>
      <c r="J468">
        <v>1368594000</v>
      </c>
      <c r="K468">
        <v>1370581200</v>
      </c>
      <c r="L468" t="b">
        <v>0</v>
      </c>
      <c r="M468" t="b">
        <v>1</v>
      </c>
      <c r="N468" t="s">
        <v>65</v>
      </c>
    </row>
    <row r="469" spans="1:14" ht="34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t="s">
        <v>20</v>
      </c>
      <c r="G469">
        <v>139</v>
      </c>
      <c r="H469" t="s">
        <v>15</v>
      </c>
      <c r="I469" t="s">
        <v>16</v>
      </c>
      <c r="J469">
        <v>1448258400</v>
      </c>
      <c r="K469">
        <v>1448863200</v>
      </c>
      <c r="L469" t="b">
        <v>0</v>
      </c>
      <c r="M469" t="b">
        <v>1</v>
      </c>
      <c r="N469" t="s">
        <v>28</v>
      </c>
    </row>
    <row r="470" spans="1:14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t="s">
        <v>14</v>
      </c>
      <c r="G470">
        <v>16</v>
      </c>
      <c r="H470" t="s">
        <v>21</v>
      </c>
      <c r="I470" t="s">
        <v>22</v>
      </c>
      <c r="J470">
        <v>1555218000</v>
      </c>
      <c r="K470">
        <v>1556600400</v>
      </c>
      <c r="L470" t="b">
        <v>0</v>
      </c>
      <c r="M470" t="b">
        <v>0</v>
      </c>
      <c r="N470" t="s">
        <v>33</v>
      </c>
    </row>
    <row r="471" spans="1:14" ht="17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t="s">
        <v>20</v>
      </c>
      <c r="G471">
        <v>159</v>
      </c>
      <c r="H471" t="s">
        <v>21</v>
      </c>
      <c r="I471" t="s">
        <v>22</v>
      </c>
      <c r="J471">
        <v>1431925200</v>
      </c>
      <c r="K471">
        <v>1432098000</v>
      </c>
      <c r="L471" t="b">
        <v>0</v>
      </c>
      <c r="M471" t="b">
        <v>0</v>
      </c>
      <c r="N471" t="s">
        <v>53</v>
      </c>
    </row>
    <row r="472" spans="1:14" ht="17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t="s">
        <v>20</v>
      </c>
      <c r="G472">
        <v>381</v>
      </c>
      <c r="H472" t="s">
        <v>21</v>
      </c>
      <c r="I472" t="s">
        <v>22</v>
      </c>
      <c r="J472">
        <v>1481522400</v>
      </c>
      <c r="K472">
        <v>1482127200</v>
      </c>
      <c r="L472" t="b">
        <v>0</v>
      </c>
      <c r="M472" t="b">
        <v>0</v>
      </c>
      <c r="N472" t="s">
        <v>65</v>
      </c>
    </row>
    <row r="473" spans="1:14" ht="17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t="s">
        <v>20</v>
      </c>
      <c r="G473">
        <v>194</v>
      </c>
      <c r="H473" t="s">
        <v>40</v>
      </c>
      <c r="I473" t="s">
        <v>41</v>
      </c>
      <c r="J473">
        <v>1335934800</v>
      </c>
      <c r="K473">
        <v>1335934800</v>
      </c>
      <c r="L473" t="b">
        <v>0</v>
      </c>
      <c r="M473" t="b">
        <v>1</v>
      </c>
      <c r="N473" t="s">
        <v>17</v>
      </c>
    </row>
    <row r="474" spans="1:14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t="s">
        <v>14</v>
      </c>
      <c r="G474">
        <v>575</v>
      </c>
      <c r="H474" t="s">
        <v>21</v>
      </c>
      <c r="I474" t="s">
        <v>22</v>
      </c>
      <c r="J474">
        <v>1552280400</v>
      </c>
      <c r="K474">
        <v>1556946000</v>
      </c>
      <c r="L474" t="b">
        <v>0</v>
      </c>
      <c r="M474" t="b">
        <v>0</v>
      </c>
      <c r="N474" t="s">
        <v>23</v>
      </c>
    </row>
    <row r="475" spans="1:14" ht="17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t="s">
        <v>20</v>
      </c>
      <c r="G475">
        <v>106</v>
      </c>
      <c r="H475" t="s">
        <v>21</v>
      </c>
      <c r="I475" t="s">
        <v>22</v>
      </c>
      <c r="J475">
        <v>1529989200</v>
      </c>
      <c r="K475">
        <v>1530075600</v>
      </c>
      <c r="L475" t="b">
        <v>0</v>
      </c>
      <c r="M475" t="b">
        <v>0</v>
      </c>
      <c r="N475" t="s">
        <v>50</v>
      </c>
    </row>
    <row r="476" spans="1:14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t="s">
        <v>20</v>
      </c>
      <c r="G476">
        <v>142</v>
      </c>
      <c r="H476" t="s">
        <v>21</v>
      </c>
      <c r="I476" t="s">
        <v>22</v>
      </c>
      <c r="J476">
        <v>1418709600</v>
      </c>
      <c r="K476">
        <v>1418796000</v>
      </c>
      <c r="L476" t="b">
        <v>0</v>
      </c>
      <c r="M476" t="b">
        <v>0</v>
      </c>
      <c r="N476" t="s">
        <v>269</v>
      </c>
    </row>
    <row r="477" spans="1:14" ht="34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t="s">
        <v>20</v>
      </c>
      <c r="G477">
        <v>211</v>
      </c>
      <c r="H477" t="s">
        <v>21</v>
      </c>
      <c r="I477" t="s">
        <v>22</v>
      </c>
      <c r="J477">
        <v>1372136400</v>
      </c>
      <c r="K477">
        <v>1372482000</v>
      </c>
      <c r="L477" t="b">
        <v>0</v>
      </c>
      <c r="M477" t="b">
        <v>1</v>
      </c>
      <c r="N477" t="s">
        <v>206</v>
      </c>
    </row>
    <row r="478" spans="1:14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t="s">
        <v>14</v>
      </c>
      <c r="G478">
        <v>1120</v>
      </c>
      <c r="H478" t="s">
        <v>21</v>
      </c>
      <c r="I478" t="s">
        <v>22</v>
      </c>
      <c r="J478">
        <v>1533877200</v>
      </c>
      <c r="K478">
        <v>1534395600</v>
      </c>
      <c r="L478" t="b">
        <v>0</v>
      </c>
      <c r="M478" t="b">
        <v>0</v>
      </c>
      <c r="N478" t="s">
        <v>119</v>
      </c>
    </row>
    <row r="479" spans="1:14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t="s">
        <v>14</v>
      </c>
      <c r="G479">
        <v>113</v>
      </c>
      <c r="H479" t="s">
        <v>21</v>
      </c>
      <c r="I479" t="s">
        <v>22</v>
      </c>
      <c r="J479">
        <v>1309064400</v>
      </c>
      <c r="K479">
        <v>1311397200</v>
      </c>
      <c r="L479" t="b">
        <v>0</v>
      </c>
      <c r="M479" t="b">
        <v>0</v>
      </c>
      <c r="N479" t="s">
        <v>474</v>
      </c>
    </row>
    <row r="480" spans="1:14" ht="17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t="s">
        <v>20</v>
      </c>
      <c r="G480">
        <v>2756</v>
      </c>
      <c r="H480" t="s">
        <v>21</v>
      </c>
      <c r="I480" t="s">
        <v>22</v>
      </c>
      <c r="J480">
        <v>1425877200</v>
      </c>
      <c r="K480">
        <v>1426914000</v>
      </c>
      <c r="L480" t="b">
        <v>0</v>
      </c>
      <c r="M480" t="b">
        <v>0</v>
      </c>
      <c r="N480" t="s">
        <v>65</v>
      </c>
    </row>
    <row r="481" spans="1:14" ht="17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t="s">
        <v>20</v>
      </c>
      <c r="G481">
        <v>173</v>
      </c>
      <c r="H481" t="s">
        <v>40</v>
      </c>
      <c r="I481" t="s">
        <v>41</v>
      </c>
      <c r="J481">
        <v>1501304400</v>
      </c>
      <c r="K481">
        <v>1501477200</v>
      </c>
      <c r="L481" t="b">
        <v>0</v>
      </c>
      <c r="M481" t="b">
        <v>0</v>
      </c>
      <c r="N481" t="s">
        <v>17</v>
      </c>
    </row>
    <row r="482" spans="1:14" ht="17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t="s">
        <v>20</v>
      </c>
      <c r="G482">
        <v>87</v>
      </c>
      <c r="H482" t="s">
        <v>21</v>
      </c>
      <c r="I482" t="s">
        <v>22</v>
      </c>
      <c r="J482">
        <v>1268287200</v>
      </c>
      <c r="K482">
        <v>1269061200</v>
      </c>
      <c r="L482" t="b">
        <v>0</v>
      </c>
      <c r="M482" t="b">
        <v>1</v>
      </c>
      <c r="N482" t="s">
        <v>122</v>
      </c>
    </row>
    <row r="483" spans="1:14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t="s">
        <v>14</v>
      </c>
      <c r="G483">
        <v>1538</v>
      </c>
      <c r="H483" t="s">
        <v>21</v>
      </c>
      <c r="I483" t="s">
        <v>22</v>
      </c>
      <c r="J483">
        <v>1412139600</v>
      </c>
      <c r="K483">
        <v>1415772000</v>
      </c>
      <c r="L483" t="b">
        <v>0</v>
      </c>
      <c r="M483" t="b">
        <v>1</v>
      </c>
      <c r="N483" t="s">
        <v>33</v>
      </c>
    </row>
    <row r="484" spans="1:14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t="s">
        <v>14</v>
      </c>
      <c r="G484">
        <v>9</v>
      </c>
      <c r="H484" t="s">
        <v>21</v>
      </c>
      <c r="I484" t="s">
        <v>22</v>
      </c>
      <c r="J484">
        <v>1330063200</v>
      </c>
      <c r="K484">
        <v>1331013600</v>
      </c>
      <c r="L484" t="b">
        <v>0</v>
      </c>
      <c r="M484" t="b">
        <v>1</v>
      </c>
      <c r="N484" t="s">
        <v>119</v>
      </c>
    </row>
    <row r="485" spans="1:14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t="s">
        <v>14</v>
      </c>
      <c r="G485">
        <v>554</v>
      </c>
      <c r="H485" t="s">
        <v>21</v>
      </c>
      <c r="I485" t="s">
        <v>22</v>
      </c>
      <c r="J485">
        <v>1576130400</v>
      </c>
      <c r="K485">
        <v>1576735200</v>
      </c>
      <c r="L485" t="b">
        <v>0</v>
      </c>
      <c r="M485" t="b">
        <v>0</v>
      </c>
      <c r="N485" t="s">
        <v>33</v>
      </c>
    </row>
    <row r="486" spans="1:14" ht="17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t="s">
        <v>20</v>
      </c>
      <c r="G486">
        <v>1572</v>
      </c>
      <c r="H486" t="s">
        <v>40</v>
      </c>
      <c r="I486" t="s">
        <v>41</v>
      </c>
      <c r="J486">
        <v>1407128400</v>
      </c>
      <c r="K486">
        <v>1411362000</v>
      </c>
      <c r="L486" t="b">
        <v>0</v>
      </c>
      <c r="M486" t="b">
        <v>1</v>
      </c>
      <c r="N486" t="s">
        <v>17</v>
      </c>
    </row>
    <row r="487" spans="1:14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t="s">
        <v>14</v>
      </c>
      <c r="G487">
        <v>648</v>
      </c>
      <c r="H487" t="s">
        <v>40</v>
      </c>
      <c r="I487" t="s">
        <v>41</v>
      </c>
      <c r="J487">
        <v>1560142800</v>
      </c>
      <c r="K487">
        <v>1563685200</v>
      </c>
      <c r="L487" t="b">
        <v>0</v>
      </c>
      <c r="M487" t="b">
        <v>0</v>
      </c>
      <c r="N487" t="s">
        <v>33</v>
      </c>
    </row>
    <row r="488" spans="1:14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t="s">
        <v>14</v>
      </c>
      <c r="G488">
        <v>21</v>
      </c>
      <c r="H488" t="s">
        <v>40</v>
      </c>
      <c r="I488" t="s">
        <v>41</v>
      </c>
      <c r="J488">
        <v>1520575200</v>
      </c>
      <c r="K488">
        <v>1521867600</v>
      </c>
      <c r="L488" t="b">
        <v>0</v>
      </c>
      <c r="M488" t="b">
        <v>1</v>
      </c>
      <c r="N488" t="s">
        <v>206</v>
      </c>
    </row>
    <row r="489" spans="1:14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t="s">
        <v>20</v>
      </c>
      <c r="G489">
        <v>2346</v>
      </c>
      <c r="H489" t="s">
        <v>21</v>
      </c>
      <c r="I489" t="s">
        <v>22</v>
      </c>
      <c r="J489">
        <v>1492664400</v>
      </c>
      <c r="K489">
        <v>1495515600</v>
      </c>
      <c r="L489" t="b">
        <v>0</v>
      </c>
      <c r="M489" t="b">
        <v>0</v>
      </c>
      <c r="N489" t="s">
        <v>33</v>
      </c>
    </row>
    <row r="490" spans="1:14" ht="17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t="s">
        <v>20</v>
      </c>
      <c r="G490">
        <v>115</v>
      </c>
      <c r="H490" t="s">
        <v>21</v>
      </c>
      <c r="I490" t="s">
        <v>22</v>
      </c>
      <c r="J490">
        <v>1454479200</v>
      </c>
      <c r="K490">
        <v>1455948000</v>
      </c>
      <c r="L490" t="b">
        <v>0</v>
      </c>
      <c r="M490" t="b">
        <v>0</v>
      </c>
      <c r="N490" t="s">
        <v>33</v>
      </c>
    </row>
    <row r="491" spans="1:14" ht="17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t="s">
        <v>20</v>
      </c>
      <c r="G491">
        <v>85</v>
      </c>
      <c r="H491" t="s">
        <v>107</v>
      </c>
      <c r="I491" t="s">
        <v>108</v>
      </c>
      <c r="J491">
        <v>1281934800</v>
      </c>
      <c r="K491">
        <v>1282366800</v>
      </c>
      <c r="L491" t="b">
        <v>0</v>
      </c>
      <c r="M491" t="b">
        <v>0</v>
      </c>
      <c r="N491" t="s">
        <v>65</v>
      </c>
    </row>
    <row r="492" spans="1:14" ht="17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t="s">
        <v>20</v>
      </c>
      <c r="G492">
        <v>144</v>
      </c>
      <c r="H492" t="s">
        <v>21</v>
      </c>
      <c r="I492" t="s">
        <v>22</v>
      </c>
      <c r="J492">
        <v>1573970400</v>
      </c>
      <c r="K492">
        <v>1574575200</v>
      </c>
      <c r="L492" t="b">
        <v>0</v>
      </c>
      <c r="M492" t="b">
        <v>0</v>
      </c>
      <c r="N492" t="s">
        <v>1029</v>
      </c>
    </row>
    <row r="493" spans="1:14" ht="34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t="s">
        <v>20</v>
      </c>
      <c r="G493">
        <v>2443</v>
      </c>
      <c r="H493" t="s">
        <v>21</v>
      </c>
      <c r="I493" t="s">
        <v>22</v>
      </c>
      <c r="J493">
        <v>1372654800</v>
      </c>
      <c r="K493">
        <v>1374901200</v>
      </c>
      <c r="L493" t="b">
        <v>0</v>
      </c>
      <c r="M493" t="b">
        <v>1</v>
      </c>
      <c r="N493" t="s">
        <v>17</v>
      </c>
    </row>
    <row r="494" spans="1:14" ht="17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t="s">
        <v>74</v>
      </c>
      <c r="G494">
        <v>595</v>
      </c>
      <c r="H494" t="s">
        <v>21</v>
      </c>
      <c r="I494" t="s">
        <v>22</v>
      </c>
      <c r="J494">
        <v>1275886800</v>
      </c>
      <c r="K494">
        <v>1278910800</v>
      </c>
      <c r="L494" t="b">
        <v>1</v>
      </c>
      <c r="M494" t="b">
        <v>1</v>
      </c>
      <c r="N494" t="s">
        <v>100</v>
      </c>
    </row>
    <row r="495" spans="1:14" ht="17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t="s">
        <v>20</v>
      </c>
      <c r="G495">
        <v>64</v>
      </c>
      <c r="H495" t="s">
        <v>21</v>
      </c>
      <c r="I495" t="s">
        <v>22</v>
      </c>
      <c r="J495">
        <v>1561784400</v>
      </c>
      <c r="K495">
        <v>1562907600</v>
      </c>
      <c r="L495" t="b">
        <v>0</v>
      </c>
      <c r="M495" t="b">
        <v>0</v>
      </c>
      <c r="N495" t="s">
        <v>122</v>
      </c>
    </row>
    <row r="496" spans="1:14" ht="17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t="s">
        <v>20</v>
      </c>
      <c r="G496">
        <v>268</v>
      </c>
      <c r="H496" t="s">
        <v>21</v>
      </c>
      <c r="I496" t="s">
        <v>22</v>
      </c>
      <c r="J496">
        <v>1332392400</v>
      </c>
      <c r="K496">
        <v>1332478800</v>
      </c>
      <c r="L496" t="b">
        <v>0</v>
      </c>
      <c r="M496" t="b">
        <v>0</v>
      </c>
      <c r="N496" t="s">
        <v>65</v>
      </c>
    </row>
    <row r="497" spans="1:14" ht="17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t="s">
        <v>20</v>
      </c>
      <c r="G497">
        <v>195</v>
      </c>
      <c r="H497" t="s">
        <v>36</v>
      </c>
      <c r="I497" t="s">
        <v>37</v>
      </c>
      <c r="J497">
        <v>1402376400</v>
      </c>
      <c r="K497">
        <v>1402722000</v>
      </c>
      <c r="L497" t="b">
        <v>0</v>
      </c>
      <c r="M497" t="b">
        <v>0</v>
      </c>
      <c r="N497" t="s">
        <v>33</v>
      </c>
    </row>
    <row r="498" spans="1:14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t="s">
        <v>14</v>
      </c>
      <c r="G498">
        <v>54</v>
      </c>
      <c r="H498" t="s">
        <v>21</v>
      </c>
      <c r="I498" t="s">
        <v>22</v>
      </c>
      <c r="J498">
        <v>1495342800</v>
      </c>
      <c r="K498">
        <v>1496811600</v>
      </c>
      <c r="L498" t="b">
        <v>0</v>
      </c>
      <c r="M498" t="b">
        <v>0</v>
      </c>
      <c r="N498" t="s">
        <v>71</v>
      </c>
    </row>
    <row r="499" spans="1:14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t="s">
        <v>14</v>
      </c>
      <c r="G499">
        <v>120</v>
      </c>
      <c r="H499" t="s">
        <v>21</v>
      </c>
      <c r="I499" t="s">
        <v>22</v>
      </c>
      <c r="J499">
        <v>1482213600</v>
      </c>
      <c r="K499">
        <v>1482213600</v>
      </c>
      <c r="L499" t="b">
        <v>0</v>
      </c>
      <c r="M499" t="b">
        <v>1</v>
      </c>
      <c r="N499" t="s">
        <v>65</v>
      </c>
    </row>
    <row r="500" spans="1:14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t="s">
        <v>14</v>
      </c>
      <c r="G500">
        <v>579</v>
      </c>
      <c r="H500" t="s">
        <v>36</v>
      </c>
      <c r="I500" t="s">
        <v>37</v>
      </c>
      <c r="J500">
        <v>1420092000</v>
      </c>
      <c r="K500">
        <v>1420264800</v>
      </c>
      <c r="L500" t="b">
        <v>0</v>
      </c>
      <c r="M500" t="b">
        <v>0</v>
      </c>
      <c r="N500" t="s">
        <v>28</v>
      </c>
    </row>
    <row r="501" spans="1:14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t="s">
        <v>14</v>
      </c>
      <c r="G501">
        <v>2072</v>
      </c>
      <c r="H501" t="s">
        <v>21</v>
      </c>
      <c r="I501" t="s">
        <v>22</v>
      </c>
      <c r="J501">
        <v>1458018000</v>
      </c>
      <c r="K501">
        <v>1458450000</v>
      </c>
      <c r="L501" t="b">
        <v>0</v>
      </c>
      <c r="M501" t="b">
        <v>1</v>
      </c>
      <c r="N501" t="s">
        <v>42</v>
      </c>
    </row>
    <row r="502" spans="1:14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t="s">
        <v>14</v>
      </c>
      <c r="G502">
        <v>0</v>
      </c>
      <c r="H502" t="s">
        <v>21</v>
      </c>
      <c r="I502" t="s">
        <v>22</v>
      </c>
      <c r="J502">
        <v>1367384400</v>
      </c>
      <c r="K502">
        <v>1369803600</v>
      </c>
      <c r="L502" t="b">
        <v>0</v>
      </c>
      <c r="M502" t="b">
        <v>1</v>
      </c>
      <c r="N502" t="s">
        <v>33</v>
      </c>
    </row>
    <row r="503" spans="1:14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t="s">
        <v>14</v>
      </c>
      <c r="G503">
        <v>1796</v>
      </c>
      <c r="H503" t="s">
        <v>21</v>
      </c>
      <c r="I503" t="s">
        <v>22</v>
      </c>
      <c r="J503">
        <v>1363064400</v>
      </c>
      <c r="K503">
        <v>1363237200</v>
      </c>
      <c r="L503" t="b">
        <v>0</v>
      </c>
      <c r="M503" t="b">
        <v>0</v>
      </c>
      <c r="N503" t="s">
        <v>42</v>
      </c>
    </row>
    <row r="504" spans="1:14" ht="17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t="s">
        <v>20</v>
      </c>
      <c r="G504">
        <v>186</v>
      </c>
      <c r="H504" t="s">
        <v>26</v>
      </c>
      <c r="I504" t="s">
        <v>27</v>
      </c>
      <c r="J504">
        <v>1343365200</v>
      </c>
      <c r="K504">
        <v>1345870800</v>
      </c>
      <c r="L504" t="b">
        <v>0</v>
      </c>
      <c r="M504" t="b">
        <v>1</v>
      </c>
      <c r="N504" t="s">
        <v>89</v>
      </c>
    </row>
    <row r="505" spans="1:14" ht="34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t="s">
        <v>20</v>
      </c>
      <c r="G505">
        <v>460</v>
      </c>
      <c r="H505" t="s">
        <v>21</v>
      </c>
      <c r="I505" t="s">
        <v>22</v>
      </c>
      <c r="J505">
        <v>1435726800</v>
      </c>
      <c r="K505">
        <v>1437454800</v>
      </c>
      <c r="L505" t="b">
        <v>0</v>
      </c>
      <c r="M505" t="b">
        <v>0</v>
      </c>
      <c r="N505" t="s">
        <v>53</v>
      </c>
    </row>
    <row r="506" spans="1:14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t="s">
        <v>14</v>
      </c>
      <c r="G506">
        <v>62</v>
      </c>
      <c r="H506" t="s">
        <v>107</v>
      </c>
      <c r="I506" t="s">
        <v>108</v>
      </c>
      <c r="J506">
        <v>1431925200</v>
      </c>
      <c r="K506">
        <v>1432011600</v>
      </c>
      <c r="L506" t="b">
        <v>0</v>
      </c>
      <c r="M506" t="b">
        <v>0</v>
      </c>
      <c r="N506" t="s">
        <v>23</v>
      </c>
    </row>
    <row r="507" spans="1:14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t="s">
        <v>14</v>
      </c>
      <c r="G507">
        <v>347</v>
      </c>
      <c r="H507" t="s">
        <v>21</v>
      </c>
      <c r="I507" t="s">
        <v>22</v>
      </c>
      <c r="J507">
        <v>1362722400</v>
      </c>
      <c r="K507">
        <v>1366347600</v>
      </c>
      <c r="L507" t="b">
        <v>0</v>
      </c>
      <c r="M507" t="b">
        <v>1</v>
      </c>
      <c r="N507" t="s">
        <v>133</v>
      </c>
    </row>
    <row r="508" spans="1:14" ht="17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t="s">
        <v>20</v>
      </c>
      <c r="G508">
        <v>2528</v>
      </c>
      <c r="H508" t="s">
        <v>21</v>
      </c>
      <c r="I508" t="s">
        <v>22</v>
      </c>
      <c r="J508">
        <v>1511416800</v>
      </c>
      <c r="K508">
        <v>1512885600</v>
      </c>
      <c r="L508" t="b">
        <v>0</v>
      </c>
      <c r="M508" t="b">
        <v>1</v>
      </c>
      <c r="N508" t="s">
        <v>33</v>
      </c>
    </row>
    <row r="509" spans="1:14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t="s">
        <v>14</v>
      </c>
      <c r="G509">
        <v>19</v>
      </c>
      <c r="H509" t="s">
        <v>21</v>
      </c>
      <c r="I509" t="s">
        <v>22</v>
      </c>
      <c r="J509">
        <v>1365483600</v>
      </c>
      <c r="K509">
        <v>1369717200</v>
      </c>
      <c r="L509" t="b">
        <v>0</v>
      </c>
      <c r="M509" t="b">
        <v>1</v>
      </c>
      <c r="N509" t="s">
        <v>28</v>
      </c>
    </row>
    <row r="510" spans="1:14" ht="17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t="s">
        <v>20</v>
      </c>
      <c r="G510">
        <v>3657</v>
      </c>
      <c r="H510" t="s">
        <v>21</v>
      </c>
      <c r="I510" t="s">
        <v>22</v>
      </c>
      <c r="J510">
        <v>1532840400</v>
      </c>
      <c r="K510">
        <v>1534654800</v>
      </c>
      <c r="L510" t="b">
        <v>0</v>
      </c>
      <c r="M510" t="b">
        <v>0</v>
      </c>
      <c r="N510" t="s">
        <v>33</v>
      </c>
    </row>
    <row r="511" spans="1:14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t="s">
        <v>14</v>
      </c>
      <c r="G511">
        <v>1258</v>
      </c>
      <c r="H511" t="s">
        <v>21</v>
      </c>
      <c r="I511" t="s">
        <v>22</v>
      </c>
      <c r="J511">
        <v>1336194000</v>
      </c>
      <c r="K511">
        <v>1337058000</v>
      </c>
      <c r="L511" t="b">
        <v>0</v>
      </c>
      <c r="M511" t="b">
        <v>0</v>
      </c>
      <c r="N511" t="s">
        <v>33</v>
      </c>
    </row>
    <row r="512" spans="1:14" ht="17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t="s">
        <v>20</v>
      </c>
      <c r="G512">
        <v>131</v>
      </c>
      <c r="H512" t="s">
        <v>26</v>
      </c>
      <c r="I512" t="s">
        <v>27</v>
      </c>
      <c r="J512">
        <v>1527742800</v>
      </c>
      <c r="K512">
        <v>1529816400</v>
      </c>
      <c r="L512" t="b">
        <v>0</v>
      </c>
      <c r="M512" t="b">
        <v>0</v>
      </c>
      <c r="N512" t="s">
        <v>53</v>
      </c>
    </row>
    <row r="513" spans="1:14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t="s">
        <v>14</v>
      </c>
      <c r="G513">
        <v>362</v>
      </c>
      <c r="H513" t="s">
        <v>21</v>
      </c>
      <c r="I513" t="s">
        <v>22</v>
      </c>
      <c r="J513">
        <v>1564030800</v>
      </c>
      <c r="K513">
        <v>1564894800</v>
      </c>
      <c r="L513" t="b">
        <v>0</v>
      </c>
      <c r="M513" t="b">
        <v>0</v>
      </c>
      <c r="N513" t="s">
        <v>33</v>
      </c>
    </row>
    <row r="514" spans="1:14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t="s">
        <v>20</v>
      </c>
      <c r="G514">
        <v>239</v>
      </c>
      <c r="H514" t="s">
        <v>21</v>
      </c>
      <c r="I514" t="s">
        <v>22</v>
      </c>
      <c r="J514">
        <v>1404536400</v>
      </c>
      <c r="K514">
        <v>1404622800</v>
      </c>
      <c r="L514" t="b">
        <v>0</v>
      </c>
      <c r="M514" t="b">
        <v>1</v>
      </c>
      <c r="N514" t="s">
        <v>89</v>
      </c>
    </row>
    <row r="515" spans="1:14" ht="17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t="s">
        <v>74</v>
      </c>
      <c r="G515">
        <v>35</v>
      </c>
      <c r="H515" t="s">
        <v>21</v>
      </c>
      <c r="I515" t="s">
        <v>22</v>
      </c>
      <c r="J515">
        <v>1284008400</v>
      </c>
      <c r="K515">
        <v>1284181200</v>
      </c>
      <c r="L515" t="b">
        <v>0</v>
      </c>
      <c r="M515" t="b">
        <v>0</v>
      </c>
      <c r="N515" t="s">
        <v>269</v>
      </c>
    </row>
    <row r="516" spans="1:14" ht="17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t="s">
        <v>74</v>
      </c>
      <c r="G516">
        <v>528</v>
      </c>
      <c r="H516" t="s">
        <v>98</v>
      </c>
      <c r="I516" t="s">
        <v>99</v>
      </c>
      <c r="J516">
        <v>1386309600</v>
      </c>
      <c r="K516">
        <v>1386741600</v>
      </c>
      <c r="L516" t="b">
        <v>0</v>
      </c>
      <c r="M516" t="b">
        <v>1</v>
      </c>
      <c r="N516" t="s">
        <v>23</v>
      </c>
    </row>
    <row r="517" spans="1:14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>
        <v>1324792800</v>
      </c>
      <c r="L517" t="b">
        <v>0</v>
      </c>
      <c r="M517" t="b">
        <v>1</v>
      </c>
      <c r="N517" t="s">
        <v>33</v>
      </c>
    </row>
    <row r="518" spans="1:14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t="s">
        <v>14</v>
      </c>
      <c r="G518">
        <v>846</v>
      </c>
      <c r="H518" t="s">
        <v>21</v>
      </c>
      <c r="I518" t="s">
        <v>22</v>
      </c>
      <c r="J518">
        <v>1281070800</v>
      </c>
      <c r="K518">
        <v>1284354000</v>
      </c>
      <c r="L518" t="b">
        <v>0</v>
      </c>
      <c r="M518" t="b">
        <v>0</v>
      </c>
      <c r="N518" t="s">
        <v>68</v>
      </c>
    </row>
    <row r="519" spans="1:14" ht="17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t="s">
        <v>20</v>
      </c>
      <c r="G519">
        <v>78</v>
      </c>
      <c r="H519" t="s">
        <v>21</v>
      </c>
      <c r="I519" t="s">
        <v>22</v>
      </c>
      <c r="J519">
        <v>1493960400</v>
      </c>
      <c r="K519">
        <v>1494392400</v>
      </c>
      <c r="L519" t="b">
        <v>0</v>
      </c>
      <c r="M519" t="b">
        <v>0</v>
      </c>
      <c r="N519" t="s">
        <v>17</v>
      </c>
    </row>
    <row r="520" spans="1:14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t="s">
        <v>14</v>
      </c>
      <c r="G520">
        <v>10</v>
      </c>
      <c r="H520" t="s">
        <v>21</v>
      </c>
      <c r="I520" t="s">
        <v>22</v>
      </c>
      <c r="J520">
        <v>1519365600</v>
      </c>
      <c r="K520">
        <v>1519538400</v>
      </c>
      <c r="L520" t="b">
        <v>0</v>
      </c>
      <c r="M520" t="b">
        <v>1</v>
      </c>
      <c r="N520" t="s">
        <v>71</v>
      </c>
    </row>
    <row r="521" spans="1:14" ht="17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t="s">
        <v>20</v>
      </c>
      <c r="G521">
        <v>1773</v>
      </c>
      <c r="H521" t="s">
        <v>21</v>
      </c>
      <c r="I521" t="s">
        <v>22</v>
      </c>
      <c r="J521">
        <v>1420696800</v>
      </c>
      <c r="K521">
        <v>1421906400</v>
      </c>
      <c r="L521" t="b">
        <v>0</v>
      </c>
      <c r="M521" t="b">
        <v>1</v>
      </c>
      <c r="N521" t="s">
        <v>23</v>
      </c>
    </row>
    <row r="522" spans="1:14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t="s">
        <v>20</v>
      </c>
      <c r="G522">
        <v>32</v>
      </c>
      <c r="H522" t="s">
        <v>21</v>
      </c>
      <c r="I522" t="s">
        <v>22</v>
      </c>
      <c r="J522">
        <v>1555650000</v>
      </c>
      <c r="K522">
        <v>1555909200</v>
      </c>
      <c r="L522" t="b">
        <v>0</v>
      </c>
      <c r="M522" t="b">
        <v>0</v>
      </c>
      <c r="N522" t="s">
        <v>33</v>
      </c>
    </row>
    <row r="523" spans="1:14" ht="17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t="s">
        <v>20</v>
      </c>
      <c r="G523">
        <v>369</v>
      </c>
      <c r="H523" t="s">
        <v>21</v>
      </c>
      <c r="I523" t="s">
        <v>22</v>
      </c>
      <c r="J523">
        <v>1471928400</v>
      </c>
      <c r="K523">
        <v>1472446800</v>
      </c>
      <c r="L523" t="b">
        <v>0</v>
      </c>
      <c r="M523" t="b">
        <v>1</v>
      </c>
      <c r="N523" t="s">
        <v>53</v>
      </c>
    </row>
    <row r="524" spans="1:14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t="s">
        <v>14</v>
      </c>
      <c r="G524">
        <v>191</v>
      </c>
      <c r="H524" t="s">
        <v>21</v>
      </c>
      <c r="I524" t="s">
        <v>22</v>
      </c>
      <c r="J524">
        <v>1341291600</v>
      </c>
      <c r="K524">
        <v>1342328400</v>
      </c>
      <c r="L524" t="b">
        <v>0</v>
      </c>
      <c r="M524" t="b">
        <v>0</v>
      </c>
      <c r="N524" t="s">
        <v>100</v>
      </c>
    </row>
    <row r="525" spans="1:14" ht="17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t="s">
        <v>20</v>
      </c>
      <c r="G525">
        <v>89</v>
      </c>
      <c r="H525" t="s">
        <v>21</v>
      </c>
      <c r="I525" t="s">
        <v>22</v>
      </c>
      <c r="J525">
        <v>1267682400</v>
      </c>
      <c r="K525">
        <v>1268114400</v>
      </c>
      <c r="L525" t="b">
        <v>0</v>
      </c>
      <c r="M525" t="b">
        <v>0</v>
      </c>
      <c r="N525" t="s">
        <v>100</v>
      </c>
    </row>
    <row r="526" spans="1:14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t="s">
        <v>14</v>
      </c>
      <c r="G526">
        <v>1979</v>
      </c>
      <c r="H526" t="s">
        <v>21</v>
      </c>
      <c r="I526" t="s">
        <v>22</v>
      </c>
      <c r="J526">
        <v>1272258000</v>
      </c>
      <c r="K526">
        <v>1273381200</v>
      </c>
      <c r="L526" t="b">
        <v>0</v>
      </c>
      <c r="M526" t="b">
        <v>0</v>
      </c>
      <c r="N526" t="s">
        <v>33</v>
      </c>
    </row>
    <row r="527" spans="1:14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t="s">
        <v>14</v>
      </c>
      <c r="G527">
        <v>63</v>
      </c>
      <c r="H527" t="s">
        <v>21</v>
      </c>
      <c r="I527" t="s">
        <v>22</v>
      </c>
      <c r="J527">
        <v>1290492000</v>
      </c>
      <c r="K527">
        <v>1290837600</v>
      </c>
      <c r="L527" t="b">
        <v>0</v>
      </c>
      <c r="M527" t="b">
        <v>0</v>
      </c>
      <c r="N527" t="s">
        <v>65</v>
      </c>
    </row>
    <row r="528" spans="1:14" ht="34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t="s">
        <v>20</v>
      </c>
      <c r="G528">
        <v>147</v>
      </c>
      <c r="H528" t="s">
        <v>21</v>
      </c>
      <c r="I528" t="s">
        <v>22</v>
      </c>
      <c r="J528">
        <v>1451109600</v>
      </c>
      <c r="K528">
        <v>1454306400</v>
      </c>
      <c r="L528" t="b">
        <v>0</v>
      </c>
      <c r="M528" t="b">
        <v>1</v>
      </c>
      <c r="N528" t="s">
        <v>33</v>
      </c>
    </row>
    <row r="529" spans="1:14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>
        <v>1457762400</v>
      </c>
      <c r="L529" t="b">
        <v>0</v>
      </c>
      <c r="M529" t="b">
        <v>0</v>
      </c>
      <c r="N529" t="s">
        <v>71</v>
      </c>
    </row>
    <row r="530" spans="1:14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t="s">
        <v>14</v>
      </c>
      <c r="G530">
        <v>80</v>
      </c>
      <c r="H530" t="s">
        <v>40</v>
      </c>
      <c r="I530" t="s">
        <v>41</v>
      </c>
      <c r="J530">
        <v>1385186400</v>
      </c>
      <c r="K530">
        <v>1389074400</v>
      </c>
      <c r="L530" t="b">
        <v>0</v>
      </c>
      <c r="M530" t="b">
        <v>0</v>
      </c>
      <c r="N530" t="s">
        <v>60</v>
      </c>
    </row>
    <row r="531" spans="1:14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t="s">
        <v>14</v>
      </c>
      <c r="G531">
        <v>9</v>
      </c>
      <c r="H531" t="s">
        <v>21</v>
      </c>
      <c r="I531" t="s">
        <v>22</v>
      </c>
      <c r="J531">
        <v>1399698000</v>
      </c>
      <c r="K531">
        <v>1402117200</v>
      </c>
      <c r="L531" t="b">
        <v>0</v>
      </c>
      <c r="M531" t="b">
        <v>0</v>
      </c>
      <c r="N531" t="s">
        <v>89</v>
      </c>
    </row>
    <row r="532" spans="1:14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t="s">
        <v>14</v>
      </c>
      <c r="G532">
        <v>1784</v>
      </c>
      <c r="H532" t="s">
        <v>21</v>
      </c>
      <c r="I532" t="s">
        <v>22</v>
      </c>
      <c r="J532">
        <v>1283230800</v>
      </c>
      <c r="K532">
        <v>1284440400</v>
      </c>
      <c r="L532" t="b">
        <v>0</v>
      </c>
      <c r="M532" t="b">
        <v>1</v>
      </c>
      <c r="N532" t="s">
        <v>119</v>
      </c>
    </row>
    <row r="533" spans="1:14" ht="34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t="s">
        <v>47</v>
      </c>
      <c r="G533">
        <v>3640</v>
      </c>
      <c r="H533" t="s">
        <v>98</v>
      </c>
      <c r="I533" t="s">
        <v>99</v>
      </c>
      <c r="J533">
        <v>1384149600</v>
      </c>
      <c r="K533">
        <v>1388988000</v>
      </c>
      <c r="L533" t="b">
        <v>0</v>
      </c>
      <c r="M533" t="b">
        <v>0</v>
      </c>
      <c r="N533" t="s">
        <v>89</v>
      </c>
    </row>
    <row r="534" spans="1:14" ht="17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t="s">
        <v>20</v>
      </c>
      <c r="G534">
        <v>126</v>
      </c>
      <c r="H534" t="s">
        <v>15</v>
      </c>
      <c r="I534" t="s">
        <v>16</v>
      </c>
      <c r="J534">
        <v>1516860000</v>
      </c>
      <c r="K534">
        <v>1516946400</v>
      </c>
      <c r="L534" t="b">
        <v>0</v>
      </c>
      <c r="M534" t="b">
        <v>0</v>
      </c>
      <c r="N534" t="s">
        <v>33</v>
      </c>
    </row>
    <row r="535" spans="1:14" ht="17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t="s">
        <v>20</v>
      </c>
      <c r="G535">
        <v>2218</v>
      </c>
      <c r="H535" t="s">
        <v>40</v>
      </c>
      <c r="I535" t="s">
        <v>41</v>
      </c>
      <c r="J535">
        <v>1374642000</v>
      </c>
      <c r="K535">
        <v>1377752400</v>
      </c>
      <c r="L535" t="b">
        <v>0</v>
      </c>
      <c r="M535" t="b">
        <v>0</v>
      </c>
      <c r="N535" t="s">
        <v>60</v>
      </c>
    </row>
    <row r="536" spans="1:14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t="s">
        <v>14</v>
      </c>
      <c r="G536">
        <v>243</v>
      </c>
      <c r="H536" t="s">
        <v>21</v>
      </c>
      <c r="I536" t="s">
        <v>22</v>
      </c>
      <c r="J536">
        <v>1534482000</v>
      </c>
      <c r="K536">
        <v>1534568400</v>
      </c>
      <c r="L536" t="b">
        <v>0</v>
      </c>
      <c r="M536" t="b">
        <v>1</v>
      </c>
      <c r="N536" t="s">
        <v>53</v>
      </c>
    </row>
    <row r="537" spans="1:14" ht="17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t="s">
        <v>20</v>
      </c>
      <c r="G537">
        <v>202</v>
      </c>
      <c r="H537" t="s">
        <v>107</v>
      </c>
      <c r="I537" t="s">
        <v>108</v>
      </c>
      <c r="J537">
        <v>1528434000</v>
      </c>
      <c r="K537">
        <v>1528606800</v>
      </c>
      <c r="L537" t="b">
        <v>0</v>
      </c>
      <c r="M537" t="b">
        <v>1</v>
      </c>
      <c r="N537" t="s">
        <v>33</v>
      </c>
    </row>
    <row r="538" spans="1:14" ht="17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t="s">
        <v>20</v>
      </c>
      <c r="G538">
        <v>140</v>
      </c>
      <c r="H538" t="s">
        <v>107</v>
      </c>
      <c r="I538" t="s">
        <v>108</v>
      </c>
      <c r="J538">
        <v>1282626000</v>
      </c>
      <c r="K538">
        <v>1284872400</v>
      </c>
      <c r="L538" t="b">
        <v>0</v>
      </c>
      <c r="M538" t="b">
        <v>0</v>
      </c>
      <c r="N538" t="s">
        <v>119</v>
      </c>
    </row>
    <row r="539" spans="1:14" ht="17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t="s">
        <v>20</v>
      </c>
      <c r="G539">
        <v>1052</v>
      </c>
      <c r="H539" t="s">
        <v>36</v>
      </c>
      <c r="I539" t="s">
        <v>37</v>
      </c>
      <c r="J539">
        <v>1535605200</v>
      </c>
      <c r="K539">
        <v>1537592400</v>
      </c>
      <c r="L539" t="b">
        <v>1</v>
      </c>
      <c r="M539" t="b">
        <v>1</v>
      </c>
      <c r="N539" t="s">
        <v>42</v>
      </c>
    </row>
    <row r="540" spans="1:14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t="s">
        <v>14</v>
      </c>
      <c r="G540">
        <v>1296</v>
      </c>
      <c r="H540" t="s">
        <v>21</v>
      </c>
      <c r="I540" t="s">
        <v>22</v>
      </c>
      <c r="J540">
        <v>1379826000</v>
      </c>
      <c r="K540">
        <v>1381208400</v>
      </c>
      <c r="L540" t="b">
        <v>0</v>
      </c>
      <c r="M540" t="b">
        <v>0</v>
      </c>
      <c r="N540" t="s">
        <v>292</v>
      </c>
    </row>
    <row r="541" spans="1:14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t="s">
        <v>14</v>
      </c>
      <c r="G541">
        <v>77</v>
      </c>
      <c r="H541" t="s">
        <v>21</v>
      </c>
      <c r="I541" t="s">
        <v>22</v>
      </c>
      <c r="J541">
        <v>1561957200</v>
      </c>
      <c r="K541">
        <v>1562475600</v>
      </c>
      <c r="L541" t="b">
        <v>0</v>
      </c>
      <c r="M541" t="b">
        <v>1</v>
      </c>
      <c r="N541" t="s">
        <v>17</v>
      </c>
    </row>
    <row r="542" spans="1:14" ht="17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t="s">
        <v>20</v>
      </c>
      <c r="G542">
        <v>247</v>
      </c>
      <c r="H542" t="s">
        <v>21</v>
      </c>
      <c r="I542" t="s">
        <v>22</v>
      </c>
      <c r="J542">
        <v>1525496400</v>
      </c>
      <c r="K542">
        <v>1527397200</v>
      </c>
      <c r="L542" t="b">
        <v>0</v>
      </c>
      <c r="M542" t="b">
        <v>0</v>
      </c>
      <c r="N542" t="s">
        <v>122</v>
      </c>
    </row>
    <row r="543" spans="1:14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t="s">
        <v>14</v>
      </c>
      <c r="G543">
        <v>395</v>
      </c>
      <c r="H543" t="s">
        <v>107</v>
      </c>
      <c r="I543" t="s">
        <v>108</v>
      </c>
      <c r="J543">
        <v>1433912400</v>
      </c>
      <c r="K543">
        <v>1436158800</v>
      </c>
      <c r="L543" t="b">
        <v>0</v>
      </c>
      <c r="M543" t="b">
        <v>0</v>
      </c>
      <c r="N543" t="s">
        <v>292</v>
      </c>
    </row>
    <row r="544" spans="1:14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t="s">
        <v>14</v>
      </c>
      <c r="G544">
        <v>49</v>
      </c>
      <c r="H544" t="s">
        <v>40</v>
      </c>
      <c r="I544" t="s">
        <v>41</v>
      </c>
      <c r="J544">
        <v>1453442400</v>
      </c>
      <c r="K544">
        <v>1456034400</v>
      </c>
      <c r="L544" t="b">
        <v>0</v>
      </c>
      <c r="M544" t="b">
        <v>0</v>
      </c>
      <c r="N544" t="s">
        <v>60</v>
      </c>
    </row>
    <row r="545" spans="1:14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t="s">
        <v>14</v>
      </c>
      <c r="G545">
        <v>180</v>
      </c>
      <c r="H545" t="s">
        <v>21</v>
      </c>
      <c r="I545" t="s">
        <v>22</v>
      </c>
      <c r="J545">
        <v>1378875600</v>
      </c>
      <c r="K545">
        <v>1380171600</v>
      </c>
      <c r="L545" t="b">
        <v>0</v>
      </c>
      <c r="M545" t="b">
        <v>0</v>
      </c>
      <c r="N545" t="s">
        <v>89</v>
      </c>
    </row>
    <row r="546" spans="1:14" ht="34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t="s">
        <v>20</v>
      </c>
      <c r="G546">
        <v>84</v>
      </c>
      <c r="H546" t="s">
        <v>21</v>
      </c>
      <c r="I546" t="s">
        <v>22</v>
      </c>
      <c r="J546">
        <v>1452232800</v>
      </c>
      <c r="K546">
        <v>1453356000</v>
      </c>
      <c r="L546" t="b">
        <v>0</v>
      </c>
      <c r="M546" t="b">
        <v>0</v>
      </c>
      <c r="N546" t="s">
        <v>23</v>
      </c>
    </row>
    <row r="547" spans="1:14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t="s">
        <v>14</v>
      </c>
      <c r="G547">
        <v>2690</v>
      </c>
      <c r="H547" t="s">
        <v>21</v>
      </c>
      <c r="I547" t="s">
        <v>22</v>
      </c>
      <c r="J547">
        <v>1577253600</v>
      </c>
      <c r="K547">
        <v>1578981600</v>
      </c>
      <c r="L547" t="b">
        <v>0</v>
      </c>
      <c r="M547" t="b">
        <v>0</v>
      </c>
      <c r="N547" t="s">
        <v>33</v>
      </c>
    </row>
    <row r="548" spans="1:14" ht="17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t="s">
        <v>20</v>
      </c>
      <c r="G548">
        <v>88</v>
      </c>
      <c r="H548" t="s">
        <v>21</v>
      </c>
      <c r="I548" t="s">
        <v>22</v>
      </c>
      <c r="J548">
        <v>1537160400</v>
      </c>
      <c r="K548">
        <v>1537419600</v>
      </c>
      <c r="L548" t="b">
        <v>0</v>
      </c>
      <c r="M548" t="b">
        <v>1</v>
      </c>
      <c r="N548" t="s">
        <v>33</v>
      </c>
    </row>
    <row r="549" spans="1:14" ht="17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t="s">
        <v>20</v>
      </c>
      <c r="G549">
        <v>156</v>
      </c>
      <c r="H549" t="s">
        <v>21</v>
      </c>
      <c r="I549" t="s">
        <v>22</v>
      </c>
      <c r="J549">
        <v>1422165600</v>
      </c>
      <c r="K549">
        <v>1423202400</v>
      </c>
      <c r="L549" t="b">
        <v>0</v>
      </c>
      <c r="M549" t="b">
        <v>0</v>
      </c>
      <c r="N549" t="s">
        <v>53</v>
      </c>
    </row>
    <row r="550" spans="1:14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t="s">
        <v>20</v>
      </c>
      <c r="G550">
        <v>2985</v>
      </c>
      <c r="H550" t="s">
        <v>21</v>
      </c>
      <c r="I550" t="s">
        <v>22</v>
      </c>
      <c r="J550">
        <v>1459486800</v>
      </c>
      <c r="K550">
        <v>1460610000</v>
      </c>
      <c r="L550" t="b">
        <v>0</v>
      </c>
      <c r="M550" t="b">
        <v>0</v>
      </c>
      <c r="N550" t="s">
        <v>33</v>
      </c>
    </row>
    <row r="551" spans="1:14" ht="34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t="s">
        <v>20</v>
      </c>
      <c r="G551">
        <v>762</v>
      </c>
      <c r="H551" t="s">
        <v>21</v>
      </c>
      <c r="I551" t="s">
        <v>22</v>
      </c>
      <c r="J551">
        <v>1369717200</v>
      </c>
      <c r="K551">
        <v>1370494800</v>
      </c>
      <c r="L551" t="b">
        <v>0</v>
      </c>
      <c r="M551" t="b">
        <v>0</v>
      </c>
      <c r="N551" t="s">
        <v>65</v>
      </c>
    </row>
    <row r="552" spans="1:14" ht="34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t="s">
        <v>74</v>
      </c>
      <c r="G552">
        <v>1</v>
      </c>
      <c r="H552" t="s">
        <v>98</v>
      </c>
      <c r="I552" t="s">
        <v>99</v>
      </c>
      <c r="J552">
        <v>1330495200</v>
      </c>
      <c r="K552">
        <v>1332306000</v>
      </c>
      <c r="L552" t="b">
        <v>0</v>
      </c>
      <c r="M552" t="b">
        <v>0</v>
      </c>
      <c r="N552" t="s">
        <v>60</v>
      </c>
    </row>
    <row r="553" spans="1:14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t="s">
        <v>14</v>
      </c>
      <c r="G553">
        <v>2779</v>
      </c>
      <c r="H553" t="s">
        <v>26</v>
      </c>
      <c r="I553" t="s">
        <v>27</v>
      </c>
      <c r="J553">
        <v>1419055200</v>
      </c>
      <c r="K553">
        <v>1422511200</v>
      </c>
      <c r="L553" t="b">
        <v>0</v>
      </c>
      <c r="M553" t="b">
        <v>1</v>
      </c>
      <c r="N553" t="s">
        <v>28</v>
      </c>
    </row>
    <row r="554" spans="1:14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t="s">
        <v>14</v>
      </c>
      <c r="G554">
        <v>92</v>
      </c>
      <c r="H554" t="s">
        <v>21</v>
      </c>
      <c r="I554" t="s">
        <v>22</v>
      </c>
      <c r="J554">
        <v>1480140000</v>
      </c>
      <c r="K554">
        <v>1480312800</v>
      </c>
      <c r="L554" t="b">
        <v>0</v>
      </c>
      <c r="M554" t="b">
        <v>0</v>
      </c>
      <c r="N554" t="s">
        <v>33</v>
      </c>
    </row>
    <row r="555" spans="1:14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t="s">
        <v>14</v>
      </c>
      <c r="G555">
        <v>1028</v>
      </c>
      <c r="H555" t="s">
        <v>21</v>
      </c>
      <c r="I555" t="s">
        <v>22</v>
      </c>
      <c r="J555">
        <v>1293948000</v>
      </c>
      <c r="K555">
        <v>1294034400</v>
      </c>
      <c r="L555" t="b">
        <v>0</v>
      </c>
      <c r="M555" t="b">
        <v>0</v>
      </c>
      <c r="N555" t="s">
        <v>23</v>
      </c>
    </row>
    <row r="556" spans="1:14" ht="34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t="s">
        <v>20</v>
      </c>
      <c r="G556">
        <v>554</v>
      </c>
      <c r="H556" t="s">
        <v>15</v>
      </c>
      <c r="I556" t="s">
        <v>16</v>
      </c>
      <c r="J556">
        <v>1482127200</v>
      </c>
      <c r="K556">
        <v>1482645600</v>
      </c>
      <c r="L556" t="b">
        <v>0</v>
      </c>
      <c r="M556" t="b">
        <v>0</v>
      </c>
      <c r="N556" t="s">
        <v>60</v>
      </c>
    </row>
    <row r="557" spans="1:14" ht="17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t="s">
        <v>20</v>
      </c>
      <c r="G557">
        <v>135</v>
      </c>
      <c r="H557" t="s">
        <v>36</v>
      </c>
      <c r="I557" t="s">
        <v>37</v>
      </c>
      <c r="J557">
        <v>1396414800</v>
      </c>
      <c r="K557">
        <v>1399093200</v>
      </c>
      <c r="L557" t="b">
        <v>0</v>
      </c>
      <c r="M557" t="b">
        <v>0</v>
      </c>
      <c r="N557" t="s">
        <v>23</v>
      </c>
    </row>
    <row r="558" spans="1:14" ht="17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t="s">
        <v>20</v>
      </c>
      <c r="G558">
        <v>122</v>
      </c>
      <c r="H558" t="s">
        <v>21</v>
      </c>
      <c r="I558" t="s">
        <v>22</v>
      </c>
      <c r="J558">
        <v>1315285200</v>
      </c>
      <c r="K558">
        <v>1315890000</v>
      </c>
      <c r="L558" t="b">
        <v>0</v>
      </c>
      <c r="M558" t="b">
        <v>1</v>
      </c>
      <c r="N558" t="s">
        <v>206</v>
      </c>
    </row>
    <row r="559" spans="1:14" ht="17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t="s">
        <v>20</v>
      </c>
      <c r="G559">
        <v>221</v>
      </c>
      <c r="H559" t="s">
        <v>21</v>
      </c>
      <c r="I559" t="s">
        <v>22</v>
      </c>
      <c r="J559">
        <v>1443762000</v>
      </c>
      <c r="K559">
        <v>1444021200</v>
      </c>
      <c r="L559" t="b">
        <v>0</v>
      </c>
      <c r="M559" t="b">
        <v>1</v>
      </c>
      <c r="N559" t="s">
        <v>474</v>
      </c>
    </row>
    <row r="560" spans="1:14" ht="17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t="s">
        <v>20</v>
      </c>
      <c r="G560">
        <v>126</v>
      </c>
      <c r="H560" t="s">
        <v>21</v>
      </c>
      <c r="I560" t="s">
        <v>22</v>
      </c>
      <c r="J560">
        <v>1456293600</v>
      </c>
      <c r="K560">
        <v>1460005200</v>
      </c>
      <c r="L560" t="b">
        <v>0</v>
      </c>
      <c r="M560" t="b">
        <v>0</v>
      </c>
      <c r="N560" t="s">
        <v>33</v>
      </c>
    </row>
    <row r="561" spans="1:14" ht="17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t="s">
        <v>20</v>
      </c>
      <c r="G561">
        <v>1022</v>
      </c>
      <c r="H561" t="s">
        <v>21</v>
      </c>
      <c r="I561" t="s">
        <v>22</v>
      </c>
      <c r="J561">
        <v>1470114000</v>
      </c>
      <c r="K561">
        <v>1470718800</v>
      </c>
      <c r="L561" t="b">
        <v>0</v>
      </c>
      <c r="M561" t="b">
        <v>0</v>
      </c>
      <c r="N561" t="s">
        <v>33</v>
      </c>
    </row>
    <row r="562" spans="1:14" ht="17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t="s">
        <v>20</v>
      </c>
      <c r="G562">
        <v>3177</v>
      </c>
      <c r="H562" t="s">
        <v>21</v>
      </c>
      <c r="I562" t="s">
        <v>22</v>
      </c>
      <c r="J562">
        <v>1321596000</v>
      </c>
      <c r="K562">
        <v>1325052000</v>
      </c>
      <c r="L562" t="b">
        <v>0</v>
      </c>
      <c r="M562" t="b">
        <v>0</v>
      </c>
      <c r="N562" t="s">
        <v>71</v>
      </c>
    </row>
    <row r="563" spans="1:14" ht="17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t="s">
        <v>20</v>
      </c>
      <c r="G563">
        <v>198</v>
      </c>
      <c r="H563" t="s">
        <v>98</v>
      </c>
      <c r="I563" t="s">
        <v>99</v>
      </c>
      <c r="J563">
        <v>1318827600</v>
      </c>
      <c r="K563">
        <v>1319000400</v>
      </c>
      <c r="L563" t="b">
        <v>0</v>
      </c>
      <c r="M563" t="b">
        <v>0</v>
      </c>
      <c r="N563" t="s">
        <v>33</v>
      </c>
    </row>
    <row r="564" spans="1:14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t="s">
        <v>14</v>
      </c>
      <c r="G564">
        <v>26</v>
      </c>
      <c r="H564" t="s">
        <v>98</v>
      </c>
      <c r="I564" t="s">
        <v>99</v>
      </c>
      <c r="J564">
        <v>1552366800</v>
      </c>
      <c r="K564">
        <v>1552539600</v>
      </c>
      <c r="L564" t="b">
        <v>0</v>
      </c>
      <c r="M564" t="b">
        <v>0</v>
      </c>
      <c r="N564" t="s">
        <v>23</v>
      </c>
    </row>
    <row r="565" spans="1:14" ht="17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t="s">
        <v>20</v>
      </c>
      <c r="G565">
        <v>85</v>
      </c>
      <c r="H565" t="s">
        <v>26</v>
      </c>
      <c r="I565" t="s">
        <v>27</v>
      </c>
      <c r="J565">
        <v>1542088800</v>
      </c>
      <c r="K565">
        <v>1543816800</v>
      </c>
      <c r="L565" t="b">
        <v>0</v>
      </c>
      <c r="M565" t="b">
        <v>0</v>
      </c>
      <c r="N565" t="s">
        <v>42</v>
      </c>
    </row>
    <row r="566" spans="1:14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t="s">
        <v>14</v>
      </c>
      <c r="G566">
        <v>1790</v>
      </c>
      <c r="H566" t="s">
        <v>21</v>
      </c>
      <c r="I566" t="s">
        <v>22</v>
      </c>
      <c r="J566">
        <v>1426395600</v>
      </c>
      <c r="K566">
        <v>1427086800</v>
      </c>
      <c r="L566" t="b">
        <v>0</v>
      </c>
      <c r="M566" t="b">
        <v>0</v>
      </c>
      <c r="N566" t="s">
        <v>33</v>
      </c>
    </row>
    <row r="567" spans="1:14" ht="17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t="s">
        <v>20</v>
      </c>
      <c r="G567">
        <v>3596</v>
      </c>
      <c r="H567" t="s">
        <v>21</v>
      </c>
      <c r="I567" t="s">
        <v>22</v>
      </c>
      <c r="J567">
        <v>1321336800</v>
      </c>
      <c r="K567">
        <v>1323064800</v>
      </c>
      <c r="L567" t="b">
        <v>0</v>
      </c>
      <c r="M567" t="b">
        <v>0</v>
      </c>
      <c r="N567" t="s">
        <v>33</v>
      </c>
    </row>
    <row r="568" spans="1:14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t="s">
        <v>14</v>
      </c>
      <c r="G568">
        <v>37</v>
      </c>
      <c r="H568" t="s">
        <v>21</v>
      </c>
      <c r="I568" t="s">
        <v>22</v>
      </c>
      <c r="J568">
        <v>1456293600</v>
      </c>
      <c r="K568">
        <v>1458277200</v>
      </c>
      <c r="L568" t="b">
        <v>0</v>
      </c>
      <c r="M568" t="b">
        <v>1</v>
      </c>
      <c r="N568" t="s">
        <v>50</v>
      </c>
    </row>
    <row r="569" spans="1:14" ht="34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t="s">
        <v>20</v>
      </c>
      <c r="G569">
        <v>244</v>
      </c>
      <c r="H569" t="s">
        <v>21</v>
      </c>
      <c r="I569" t="s">
        <v>22</v>
      </c>
      <c r="J569">
        <v>1404968400</v>
      </c>
      <c r="K569">
        <v>1405141200</v>
      </c>
      <c r="L569" t="b">
        <v>0</v>
      </c>
      <c r="M569" t="b">
        <v>0</v>
      </c>
      <c r="N569" t="s">
        <v>23</v>
      </c>
    </row>
    <row r="570" spans="1:14" ht="17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t="s">
        <v>20</v>
      </c>
      <c r="G570">
        <v>5180</v>
      </c>
      <c r="H570" t="s">
        <v>21</v>
      </c>
      <c r="I570" t="s">
        <v>22</v>
      </c>
      <c r="J570">
        <v>1279170000</v>
      </c>
      <c r="K570">
        <v>1283058000</v>
      </c>
      <c r="L570" t="b">
        <v>0</v>
      </c>
      <c r="M570" t="b">
        <v>0</v>
      </c>
      <c r="N570" t="s">
        <v>33</v>
      </c>
    </row>
    <row r="571" spans="1:14" ht="17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t="s">
        <v>20</v>
      </c>
      <c r="G571">
        <v>589</v>
      </c>
      <c r="H571" t="s">
        <v>107</v>
      </c>
      <c r="I571" t="s">
        <v>108</v>
      </c>
      <c r="J571">
        <v>1294725600</v>
      </c>
      <c r="K571">
        <v>1295762400</v>
      </c>
      <c r="L571" t="b">
        <v>0</v>
      </c>
      <c r="M571" t="b">
        <v>0</v>
      </c>
      <c r="N571" t="s">
        <v>71</v>
      </c>
    </row>
    <row r="572" spans="1:14" ht="17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t="s">
        <v>20</v>
      </c>
      <c r="G572">
        <v>2725</v>
      </c>
      <c r="H572" t="s">
        <v>21</v>
      </c>
      <c r="I572" t="s">
        <v>22</v>
      </c>
      <c r="J572">
        <v>1419055200</v>
      </c>
      <c r="K572">
        <v>1419573600</v>
      </c>
      <c r="L572" t="b">
        <v>0</v>
      </c>
      <c r="M572" t="b">
        <v>1</v>
      </c>
      <c r="N572" t="s">
        <v>23</v>
      </c>
    </row>
    <row r="573" spans="1:14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t="s">
        <v>14</v>
      </c>
      <c r="G573">
        <v>35</v>
      </c>
      <c r="H573" t="s">
        <v>107</v>
      </c>
      <c r="I573" t="s">
        <v>108</v>
      </c>
      <c r="J573">
        <v>1434690000</v>
      </c>
      <c r="K573">
        <v>1438750800</v>
      </c>
      <c r="L573" t="b">
        <v>0</v>
      </c>
      <c r="M573" t="b">
        <v>0</v>
      </c>
      <c r="N573" t="s">
        <v>100</v>
      </c>
    </row>
    <row r="574" spans="1:14" ht="17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t="s">
        <v>74</v>
      </c>
      <c r="G574">
        <v>94</v>
      </c>
      <c r="H574" t="s">
        <v>21</v>
      </c>
      <c r="I574" t="s">
        <v>22</v>
      </c>
      <c r="J574">
        <v>1443416400</v>
      </c>
      <c r="K574">
        <v>1444798800</v>
      </c>
      <c r="L574" t="b">
        <v>0</v>
      </c>
      <c r="M574" t="b">
        <v>1</v>
      </c>
      <c r="N574" t="s">
        <v>23</v>
      </c>
    </row>
    <row r="575" spans="1:14" ht="17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t="s">
        <v>20</v>
      </c>
      <c r="G575">
        <v>300</v>
      </c>
      <c r="H575" t="s">
        <v>21</v>
      </c>
      <c r="I575" t="s">
        <v>22</v>
      </c>
      <c r="J575">
        <v>1399006800</v>
      </c>
      <c r="K575">
        <v>1399179600</v>
      </c>
      <c r="L575" t="b">
        <v>0</v>
      </c>
      <c r="M575" t="b">
        <v>0</v>
      </c>
      <c r="N575" t="s">
        <v>1029</v>
      </c>
    </row>
    <row r="576" spans="1:14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t="s">
        <v>20</v>
      </c>
      <c r="G576">
        <v>144</v>
      </c>
      <c r="H576" t="s">
        <v>21</v>
      </c>
      <c r="I576" t="s">
        <v>22</v>
      </c>
      <c r="J576">
        <v>1575698400</v>
      </c>
      <c r="K576">
        <v>1576562400</v>
      </c>
      <c r="L576" t="b">
        <v>0</v>
      </c>
      <c r="M576" t="b">
        <v>1</v>
      </c>
      <c r="N576" t="s">
        <v>17</v>
      </c>
    </row>
    <row r="577" spans="1:14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t="s">
        <v>14</v>
      </c>
      <c r="G577">
        <v>558</v>
      </c>
      <c r="H577" t="s">
        <v>21</v>
      </c>
      <c r="I577" t="s">
        <v>22</v>
      </c>
      <c r="J577">
        <v>1400562000</v>
      </c>
      <c r="K577">
        <v>1400821200</v>
      </c>
      <c r="L577" t="b">
        <v>0</v>
      </c>
      <c r="M577" t="b">
        <v>1</v>
      </c>
      <c r="N577" t="s">
        <v>33</v>
      </c>
    </row>
    <row r="578" spans="1:14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t="s">
        <v>14</v>
      </c>
      <c r="G578">
        <v>64</v>
      </c>
      <c r="H578" t="s">
        <v>21</v>
      </c>
      <c r="I578" t="s">
        <v>22</v>
      </c>
      <c r="J578">
        <v>1509512400</v>
      </c>
      <c r="K578">
        <v>1510984800</v>
      </c>
      <c r="L578" t="b">
        <v>0</v>
      </c>
      <c r="M578" t="b">
        <v>0</v>
      </c>
      <c r="N578" t="s">
        <v>33</v>
      </c>
    </row>
    <row r="579" spans="1:14" ht="17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t="s">
        <v>74</v>
      </c>
      <c r="G579">
        <v>37</v>
      </c>
      <c r="H579" t="s">
        <v>21</v>
      </c>
      <c r="I579" t="s">
        <v>22</v>
      </c>
      <c r="J579">
        <v>1299823200</v>
      </c>
      <c r="K579">
        <v>1302066000</v>
      </c>
      <c r="L579" t="b">
        <v>0</v>
      </c>
      <c r="M579" t="b">
        <v>0</v>
      </c>
      <c r="N579" t="s">
        <v>159</v>
      </c>
    </row>
    <row r="580" spans="1:14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t="s">
        <v>14</v>
      </c>
      <c r="G580">
        <v>245</v>
      </c>
      <c r="H580" t="s">
        <v>21</v>
      </c>
      <c r="I580" t="s">
        <v>22</v>
      </c>
      <c r="J580">
        <v>1322719200</v>
      </c>
      <c r="K580">
        <v>1322978400</v>
      </c>
      <c r="L580" t="b">
        <v>0</v>
      </c>
      <c r="M580" t="b">
        <v>0</v>
      </c>
      <c r="N580" t="s">
        <v>474</v>
      </c>
    </row>
    <row r="581" spans="1:14" ht="17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t="s">
        <v>20</v>
      </c>
      <c r="G581">
        <v>87</v>
      </c>
      <c r="H581" t="s">
        <v>21</v>
      </c>
      <c r="I581" t="s">
        <v>22</v>
      </c>
      <c r="J581">
        <v>1312693200</v>
      </c>
      <c r="K581">
        <v>1313730000</v>
      </c>
      <c r="L581" t="b">
        <v>0</v>
      </c>
      <c r="M581" t="b">
        <v>0</v>
      </c>
      <c r="N581" t="s">
        <v>159</v>
      </c>
    </row>
    <row r="582" spans="1:14" ht="17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t="s">
        <v>20</v>
      </c>
      <c r="G582">
        <v>3116</v>
      </c>
      <c r="H582" t="s">
        <v>21</v>
      </c>
      <c r="I582" t="s">
        <v>22</v>
      </c>
      <c r="J582">
        <v>1393394400</v>
      </c>
      <c r="K582">
        <v>1394085600</v>
      </c>
      <c r="L582" t="b">
        <v>0</v>
      </c>
      <c r="M582" t="b">
        <v>0</v>
      </c>
      <c r="N582" t="s">
        <v>33</v>
      </c>
    </row>
    <row r="583" spans="1:14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t="s">
        <v>14</v>
      </c>
      <c r="G583">
        <v>71</v>
      </c>
      <c r="H583" t="s">
        <v>21</v>
      </c>
      <c r="I583" t="s">
        <v>22</v>
      </c>
      <c r="J583">
        <v>1304053200</v>
      </c>
      <c r="K583">
        <v>1305349200</v>
      </c>
      <c r="L583" t="b">
        <v>0</v>
      </c>
      <c r="M583" t="b">
        <v>0</v>
      </c>
      <c r="N583" t="s">
        <v>28</v>
      </c>
    </row>
    <row r="584" spans="1:14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t="s">
        <v>14</v>
      </c>
      <c r="G584">
        <v>42</v>
      </c>
      <c r="H584" t="s">
        <v>21</v>
      </c>
      <c r="I584" t="s">
        <v>22</v>
      </c>
      <c r="J584">
        <v>1433912400</v>
      </c>
      <c r="K584">
        <v>1434344400</v>
      </c>
      <c r="L584" t="b">
        <v>0</v>
      </c>
      <c r="M584" t="b">
        <v>1</v>
      </c>
      <c r="N584" t="s">
        <v>89</v>
      </c>
    </row>
    <row r="585" spans="1:14" ht="34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t="s">
        <v>20</v>
      </c>
      <c r="G585">
        <v>909</v>
      </c>
      <c r="H585" t="s">
        <v>21</v>
      </c>
      <c r="I585" t="s">
        <v>22</v>
      </c>
      <c r="J585">
        <v>1329717600</v>
      </c>
      <c r="K585">
        <v>1331186400</v>
      </c>
      <c r="L585" t="b">
        <v>0</v>
      </c>
      <c r="M585" t="b">
        <v>0</v>
      </c>
      <c r="N585" t="s">
        <v>42</v>
      </c>
    </row>
    <row r="586" spans="1:14" ht="34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t="s">
        <v>20</v>
      </c>
      <c r="G586">
        <v>1613</v>
      </c>
      <c r="H586" t="s">
        <v>21</v>
      </c>
      <c r="I586" t="s">
        <v>22</v>
      </c>
      <c r="J586">
        <v>1335330000</v>
      </c>
      <c r="K586">
        <v>1336539600</v>
      </c>
      <c r="L586" t="b">
        <v>0</v>
      </c>
      <c r="M586" t="b">
        <v>0</v>
      </c>
      <c r="N586" t="s">
        <v>28</v>
      </c>
    </row>
    <row r="587" spans="1:14" ht="17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t="s">
        <v>20</v>
      </c>
      <c r="G587">
        <v>136</v>
      </c>
      <c r="H587" t="s">
        <v>21</v>
      </c>
      <c r="I587" t="s">
        <v>22</v>
      </c>
      <c r="J587">
        <v>1268888400</v>
      </c>
      <c r="K587">
        <v>1269752400</v>
      </c>
      <c r="L587" t="b">
        <v>0</v>
      </c>
      <c r="M587" t="b">
        <v>0</v>
      </c>
      <c r="N587" t="s">
        <v>206</v>
      </c>
    </row>
    <row r="588" spans="1:14" ht="17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t="s">
        <v>20</v>
      </c>
      <c r="G588">
        <v>130</v>
      </c>
      <c r="H588" t="s">
        <v>21</v>
      </c>
      <c r="I588" t="s">
        <v>22</v>
      </c>
      <c r="J588">
        <v>1289973600</v>
      </c>
      <c r="K588">
        <v>1291615200</v>
      </c>
      <c r="L588" t="b">
        <v>0</v>
      </c>
      <c r="M588" t="b">
        <v>0</v>
      </c>
      <c r="N588" t="s">
        <v>23</v>
      </c>
    </row>
    <row r="589" spans="1:14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>
        <v>1552366800</v>
      </c>
      <c r="L589" t="b">
        <v>0</v>
      </c>
      <c r="M589" t="b">
        <v>1</v>
      </c>
      <c r="N589" t="s">
        <v>17</v>
      </c>
    </row>
    <row r="590" spans="1:14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t="s">
        <v>14</v>
      </c>
      <c r="G590">
        <v>1368</v>
      </c>
      <c r="H590" t="s">
        <v>40</v>
      </c>
      <c r="I590" t="s">
        <v>41</v>
      </c>
      <c r="J590">
        <v>1269493200</v>
      </c>
      <c r="K590">
        <v>1272171600</v>
      </c>
      <c r="L590" t="b">
        <v>0</v>
      </c>
      <c r="M590" t="b">
        <v>0</v>
      </c>
      <c r="N590" t="s">
        <v>33</v>
      </c>
    </row>
    <row r="591" spans="1:14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t="s">
        <v>14</v>
      </c>
      <c r="G591">
        <v>102</v>
      </c>
      <c r="H591" t="s">
        <v>21</v>
      </c>
      <c r="I591" t="s">
        <v>22</v>
      </c>
      <c r="J591">
        <v>1436072400</v>
      </c>
      <c r="K591">
        <v>1436677200</v>
      </c>
      <c r="L591" t="b">
        <v>0</v>
      </c>
      <c r="M591" t="b">
        <v>0</v>
      </c>
      <c r="N591" t="s">
        <v>42</v>
      </c>
    </row>
    <row r="592" spans="1:14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t="s">
        <v>14</v>
      </c>
      <c r="G592">
        <v>86</v>
      </c>
      <c r="H592" t="s">
        <v>26</v>
      </c>
      <c r="I592" t="s">
        <v>27</v>
      </c>
      <c r="J592">
        <v>1419141600</v>
      </c>
      <c r="K592">
        <v>1420092000</v>
      </c>
      <c r="L592" t="b">
        <v>0</v>
      </c>
      <c r="M592" t="b">
        <v>0</v>
      </c>
      <c r="N592" t="s">
        <v>133</v>
      </c>
    </row>
    <row r="593" spans="1:14" ht="17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t="s">
        <v>20</v>
      </c>
      <c r="G593">
        <v>102</v>
      </c>
      <c r="H593" t="s">
        <v>21</v>
      </c>
      <c r="I593" t="s">
        <v>22</v>
      </c>
      <c r="J593">
        <v>1279083600</v>
      </c>
      <c r="K593">
        <v>1279947600</v>
      </c>
      <c r="L593" t="b">
        <v>0</v>
      </c>
      <c r="M593" t="b">
        <v>0</v>
      </c>
      <c r="N593" t="s">
        <v>89</v>
      </c>
    </row>
    <row r="594" spans="1:14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t="s">
        <v>14</v>
      </c>
      <c r="G594">
        <v>253</v>
      </c>
      <c r="H594" t="s">
        <v>21</v>
      </c>
      <c r="I594" t="s">
        <v>22</v>
      </c>
      <c r="J594">
        <v>1401426000</v>
      </c>
      <c r="K594">
        <v>1402203600</v>
      </c>
      <c r="L594" t="b">
        <v>0</v>
      </c>
      <c r="M594" t="b">
        <v>0</v>
      </c>
      <c r="N594" t="s">
        <v>33</v>
      </c>
    </row>
    <row r="595" spans="1:14" ht="17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t="s">
        <v>20</v>
      </c>
      <c r="G595">
        <v>4006</v>
      </c>
      <c r="H595" t="s">
        <v>21</v>
      </c>
      <c r="I595" t="s">
        <v>22</v>
      </c>
      <c r="J595">
        <v>1395810000</v>
      </c>
      <c r="K595">
        <v>1396933200</v>
      </c>
      <c r="L595" t="b">
        <v>0</v>
      </c>
      <c r="M595" t="b">
        <v>0</v>
      </c>
      <c r="N595" t="s">
        <v>71</v>
      </c>
    </row>
    <row r="596" spans="1:14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t="s">
        <v>14</v>
      </c>
      <c r="G596">
        <v>157</v>
      </c>
      <c r="H596" t="s">
        <v>21</v>
      </c>
      <c r="I596" t="s">
        <v>22</v>
      </c>
      <c r="J596">
        <v>1467003600</v>
      </c>
      <c r="K596">
        <v>1467262800</v>
      </c>
      <c r="L596" t="b">
        <v>0</v>
      </c>
      <c r="M596" t="b">
        <v>1</v>
      </c>
      <c r="N596" t="s">
        <v>33</v>
      </c>
    </row>
    <row r="597" spans="1:14" ht="34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t="s">
        <v>20</v>
      </c>
      <c r="G597">
        <v>1629</v>
      </c>
      <c r="H597" t="s">
        <v>21</v>
      </c>
      <c r="I597" t="s">
        <v>22</v>
      </c>
      <c r="J597">
        <v>1268715600</v>
      </c>
      <c r="K597">
        <v>1270530000</v>
      </c>
      <c r="L597" t="b">
        <v>0</v>
      </c>
      <c r="M597" t="b">
        <v>1</v>
      </c>
      <c r="N597" t="s">
        <v>33</v>
      </c>
    </row>
    <row r="598" spans="1:14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t="s">
        <v>14</v>
      </c>
      <c r="G598">
        <v>183</v>
      </c>
      <c r="H598" t="s">
        <v>21</v>
      </c>
      <c r="I598" t="s">
        <v>22</v>
      </c>
      <c r="J598">
        <v>1457157600</v>
      </c>
      <c r="K598">
        <v>1457762400</v>
      </c>
      <c r="L598" t="b">
        <v>0</v>
      </c>
      <c r="M598" t="b">
        <v>1</v>
      </c>
      <c r="N598" t="s">
        <v>53</v>
      </c>
    </row>
    <row r="599" spans="1:14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t="s">
        <v>20</v>
      </c>
      <c r="G599">
        <v>2188</v>
      </c>
      <c r="H599" t="s">
        <v>21</v>
      </c>
      <c r="I599" t="s">
        <v>22</v>
      </c>
      <c r="J599">
        <v>1573970400</v>
      </c>
      <c r="K599">
        <v>1575525600</v>
      </c>
      <c r="L599" t="b">
        <v>0</v>
      </c>
      <c r="M599" t="b">
        <v>0</v>
      </c>
      <c r="N599" t="s">
        <v>33</v>
      </c>
    </row>
    <row r="600" spans="1:14" ht="17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t="s">
        <v>20</v>
      </c>
      <c r="G600">
        <v>2409</v>
      </c>
      <c r="H600" t="s">
        <v>107</v>
      </c>
      <c r="I600" t="s">
        <v>108</v>
      </c>
      <c r="J600">
        <v>1276578000</v>
      </c>
      <c r="K600">
        <v>1279083600</v>
      </c>
      <c r="L600" t="b">
        <v>0</v>
      </c>
      <c r="M600" t="b">
        <v>0</v>
      </c>
      <c r="N600" t="s">
        <v>23</v>
      </c>
    </row>
    <row r="601" spans="1:14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t="s">
        <v>14</v>
      </c>
      <c r="G601">
        <v>82</v>
      </c>
      <c r="H601" t="s">
        <v>36</v>
      </c>
      <c r="I601" t="s">
        <v>37</v>
      </c>
      <c r="J601">
        <v>1423720800</v>
      </c>
      <c r="K601">
        <v>1424412000</v>
      </c>
      <c r="L601" t="b">
        <v>0</v>
      </c>
      <c r="M601" t="b">
        <v>0</v>
      </c>
      <c r="N601" t="s">
        <v>42</v>
      </c>
    </row>
    <row r="602" spans="1:14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t="s">
        <v>14</v>
      </c>
      <c r="G602">
        <v>1</v>
      </c>
      <c r="H602" t="s">
        <v>40</v>
      </c>
      <c r="I602" t="s">
        <v>41</v>
      </c>
      <c r="J602">
        <v>1375160400</v>
      </c>
      <c r="K602">
        <v>1376197200</v>
      </c>
      <c r="L602" t="b">
        <v>0</v>
      </c>
      <c r="M602" t="b">
        <v>0</v>
      </c>
      <c r="N602" t="s">
        <v>17</v>
      </c>
    </row>
    <row r="603" spans="1:14" ht="17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t="s">
        <v>20</v>
      </c>
      <c r="G603">
        <v>194</v>
      </c>
      <c r="H603" t="s">
        <v>21</v>
      </c>
      <c r="I603" t="s">
        <v>22</v>
      </c>
      <c r="J603">
        <v>1401426000</v>
      </c>
      <c r="K603">
        <v>1402894800</v>
      </c>
      <c r="L603" t="b">
        <v>1</v>
      </c>
      <c r="M603" t="b">
        <v>0</v>
      </c>
      <c r="N603" t="s">
        <v>65</v>
      </c>
    </row>
    <row r="604" spans="1:14" ht="34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t="s">
        <v>20</v>
      </c>
      <c r="G604">
        <v>1140</v>
      </c>
      <c r="H604" t="s">
        <v>21</v>
      </c>
      <c r="I604" t="s">
        <v>22</v>
      </c>
      <c r="J604">
        <v>1433480400</v>
      </c>
      <c r="K604">
        <v>1434430800</v>
      </c>
      <c r="L604" t="b">
        <v>0</v>
      </c>
      <c r="M604" t="b">
        <v>0</v>
      </c>
      <c r="N604" t="s">
        <v>33</v>
      </c>
    </row>
    <row r="605" spans="1:14" ht="17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t="s">
        <v>20</v>
      </c>
      <c r="G605">
        <v>102</v>
      </c>
      <c r="H605" t="s">
        <v>21</v>
      </c>
      <c r="I605" t="s">
        <v>22</v>
      </c>
      <c r="J605">
        <v>1555563600</v>
      </c>
      <c r="K605">
        <v>1557896400</v>
      </c>
      <c r="L605" t="b">
        <v>0</v>
      </c>
      <c r="M605" t="b">
        <v>0</v>
      </c>
      <c r="N605" t="s">
        <v>33</v>
      </c>
    </row>
    <row r="606" spans="1:14" ht="17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t="s">
        <v>20</v>
      </c>
      <c r="G606">
        <v>2857</v>
      </c>
      <c r="H606" t="s">
        <v>21</v>
      </c>
      <c r="I606" t="s">
        <v>22</v>
      </c>
      <c r="J606">
        <v>1295676000</v>
      </c>
      <c r="K606">
        <v>1297490400</v>
      </c>
      <c r="L606" t="b">
        <v>0</v>
      </c>
      <c r="M606" t="b">
        <v>0</v>
      </c>
      <c r="N606" t="s">
        <v>33</v>
      </c>
    </row>
    <row r="607" spans="1:14" ht="17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t="s">
        <v>20</v>
      </c>
      <c r="G607">
        <v>107</v>
      </c>
      <c r="H607" t="s">
        <v>21</v>
      </c>
      <c r="I607" t="s">
        <v>22</v>
      </c>
      <c r="J607">
        <v>1443848400</v>
      </c>
      <c r="K607">
        <v>1447394400</v>
      </c>
      <c r="L607" t="b">
        <v>0</v>
      </c>
      <c r="M607" t="b">
        <v>0</v>
      </c>
      <c r="N607" t="s">
        <v>68</v>
      </c>
    </row>
    <row r="608" spans="1:14" ht="17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t="s">
        <v>20</v>
      </c>
      <c r="G608">
        <v>160</v>
      </c>
      <c r="H608" t="s">
        <v>40</v>
      </c>
      <c r="I608" t="s">
        <v>41</v>
      </c>
      <c r="J608">
        <v>1457330400</v>
      </c>
      <c r="K608">
        <v>1458277200</v>
      </c>
      <c r="L608" t="b">
        <v>0</v>
      </c>
      <c r="M608" t="b">
        <v>0</v>
      </c>
      <c r="N608" t="s">
        <v>23</v>
      </c>
    </row>
    <row r="609" spans="1:14" ht="17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t="s">
        <v>20</v>
      </c>
      <c r="G609">
        <v>2230</v>
      </c>
      <c r="H609" t="s">
        <v>21</v>
      </c>
      <c r="I609" t="s">
        <v>22</v>
      </c>
      <c r="J609">
        <v>1395550800</v>
      </c>
      <c r="K609">
        <v>1395723600</v>
      </c>
      <c r="L609" t="b">
        <v>0</v>
      </c>
      <c r="M609" t="b">
        <v>0</v>
      </c>
      <c r="N609" t="s">
        <v>17</v>
      </c>
    </row>
    <row r="610" spans="1:14" ht="17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t="s">
        <v>20</v>
      </c>
      <c r="G610">
        <v>316</v>
      </c>
      <c r="H610" t="s">
        <v>21</v>
      </c>
      <c r="I610" t="s">
        <v>22</v>
      </c>
      <c r="J610">
        <v>1551852000</v>
      </c>
      <c r="K610">
        <v>1552197600</v>
      </c>
      <c r="L610" t="b">
        <v>0</v>
      </c>
      <c r="M610" t="b">
        <v>1</v>
      </c>
      <c r="N610" t="s">
        <v>159</v>
      </c>
    </row>
    <row r="611" spans="1:14" ht="17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t="s">
        <v>20</v>
      </c>
      <c r="G611">
        <v>117</v>
      </c>
      <c r="H611" t="s">
        <v>21</v>
      </c>
      <c r="I611" t="s">
        <v>22</v>
      </c>
      <c r="J611">
        <v>1547618400</v>
      </c>
      <c r="K611">
        <v>1549087200</v>
      </c>
      <c r="L611" t="b">
        <v>0</v>
      </c>
      <c r="M611" t="b">
        <v>0</v>
      </c>
      <c r="N611" t="s">
        <v>474</v>
      </c>
    </row>
    <row r="612" spans="1:14" ht="34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t="s">
        <v>20</v>
      </c>
      <c r="G612">
        <v>6406</v>
      </c>
      <c r="H612" t="s">
        <v>21</v>
      </c>
      <c r="I612" t="s">
        <v>22</v>
      </c>
      <c r="J612">
        <v>1355637600</v>
      </c>
      <c r="K612">
        <v>1356847200</v>
      </c>
      <c r="L612" t="b">
        <v>0</v>
      </c>
      <c r="M612" t="b">
        <v>0</v>
      </c>
      <c r="N612" t="s">
        <v>33</v>
      </c>
    </row>
    <row r="613" spans="1:14" ht="17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t="s">
        <v>74</v>
      </c>
      <c r="G613">
        <v>15</v>
      </c>
      <c r="H613" t="s">
        <v>21</v>
      </c>
      <c r="I613" t="s">
        <v>22</v>
      </c>
      <c r="J613">
        <v>1374728400</v>
      </c>
      <c r="K613">
        <v>1375765200</v>
      </c>
      <c r="L613" t="b">
        <v>0</v>
      </c>
      <c r="M613" t="b">
        <v>0</v>
      </c>
      <c r="N613" t="s">
        <v>33</v>
      </c>
    </row>
    <row r="614" spans="1:14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t="s">
        <v>20</v>
      </c>
      <c r="G614">
        <v>192</v>
      </c>
      <c r="H614" t="s">
        <v>21</v>
      </c>
      <c r="I614" t="s">
        <v>22</v>
      </c>
      <c r="J614">
        <v>1287810000</v>
      </c>
      <c r="K614">
        <v>1289800800</v>
      </c>
      <c r="L614" t="b">
        <v>0</v>
      </c>
      <c r="M614" t="b">
        <v>0</v>
      </c>
      <c r="N614" t="s">
        <v>50</v>
      </c>
    </row>
    <row r="615" spans="1:14" ht="34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t="s">
        <v>20</v>
      </c>
      <c r="G615">
        <v>26</v>
      </c>
      <c r="H615" t="s">
        <v>15</v>
      </c>
      <c r="I615" t="s">
        <v>16</v>
      </c>
      <c r="J615">
        <v>1503723600</v>
      </c>
      <c r="K615">
        <v>1504501200</v>
      </c>
      <c r="L615" t="b">
        <v>0</v>
      </c>
      <c r="M615" t="b">
        <v>0</v>
      </c>
      <c r="N615" t="s">
        <v>33</v>
      </c>
    </row>
    <row r="616" spans="1:14" ht="34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t="s">
        <v>20</v>
      </c>
      <c r="G616">
        <v>723</v>
      </c>
      <c r="H616" t="s">
        <v>21</v>
      </c>
      <c r="I616" t="s">
        <v>22</v>
      </c>
      <c r="J616">
        <v>1484114400</v>
      </c>
      <c r="K616">
        <v>1485669600</v>
      </c>
      <c r="L616" t="b">
        <v>0</v>
      </c>
      <c r="M616" t="b">
        <v>0</v>
      </c>
      <c r="N616" t="s">
        <v>33</v>
      </c>
    </row>
    <row r="617" spans="1:14" ht="17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t="s">
        <v>20</v>
      </c>
      <c r="G617">
        <v>170</v>
      </c>
      <c r="H617" t="s">
        <v>107</v>
      </c>
      <c r="I617" t="s">
        <v>108</v>
      </c>
      <c r="J617">
        <v>1461906000</v>
      </c>
      <c r="K617">
        <v>1462770000</v>
      </c>
      <c r="L617" t="b">
        <v>0</v>
      </c>
      <c r="M617" t="b">
        <v>0</v>
      </c>
      <c r="N617" t="s">
        <v>33</v>
      </c>
    </row>
    <row r="618" spans="1:14" ht="17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t="s">
        <v>20</v>
      </c>
      <c r="G618">
        <v>238</v>
      </c>
      <c r="H618" t="s">
        <v>40</v>
      </c>
      <c r="I618" t="s">
        <v>41</v>
      </c>
      <c r="J618">
        <v>1379653200</v>
      </c>
      <c r="K618">
        <v>1379739600</v>
      </c>
      <c r="L618" t="b">
        <v>0</v>
      </c>
      <c r="M618" t="b">
        <v>1</v>
      </c>
      <c r="N618" t="s">
        <v>60</v>
      </c>
    </row>
    <row r="619" spans="1:14" ht="17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t="s">
        <v>20</v>
      </c>
      <c r="G619">
        <v>55</v>
      </c>
      <c r="H619" t="s">
        <v>21</v>
      </c>
      <c r="I619" t="s">
        <v>22</v>
      </c>
      <c r="J619">
        <v>1401858000</v>
      </c>
      <c r="K619">
        <v>1402722000</v>
      </c>
      <c r="L619" t="b">
        <v>0</v>
      </c>
      <c r="M619" t="b">
        <v>0</v>
      </c>
      <c r="N619" t="s">
        <v>33</v>
      </c>
    </row>
    <row r="620" spans="1:14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t="s">
        <v>14</v>
      </c>
      <c r="G620">
        <v>1198</v>
      </c>
      <c r="H620" t="s">
        <v>21</v>
      </c>
      <c r="I620" t="s">
        <v>22</v>
      </c>
      <c r="J620">
        <v>1367470800</v>
      </c>
      <c r="K620">
        <v>1369285200</v>
      </c>
      <c r="L620" t="b">
        <v>0</v>
      </c>
      <c r="M620" t="b">
        <v>0</v>
      </c>
      <c r="N620" t="s">
        <v>68</v>
      </c>
    </row>
    <row r="621" spans="1:14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t="s">
        <v>14</v>
      </c>
      <c r="G621">
        <v>648</v>
      </c>
      <c r="H621" t="s">
        <v>21</v>
      </c>
      <c r="I621" t="s">
        <v>22</v>
      </c>
      <c r="J621">
        <v>1304658000</v>
      </c>
      <c r="K621">
        <v>1304744400</v>
      </c>
      <c r="L621" t="b">
        <v>1</v>
      </c>
      <c r="M621" t="b">
        <v>1</v>
      </c>
      <c r="N621" t="s">
        <v>33</v>
      </c>
    </row>
    <row r="622" spans="1:14" ht="17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t="s">
        <v>20</v>
      </c>
      <c r="G622">
        <v>128</v>
      </c>
      <c r="H622" t="s">
        <v>26</v>
      </c>
      <c r="I622" t="s">
        <v>27</v>
      </c>
      <c r="J622">
        <v>1467954000</v>
      </c>
      <c r="K622">
        <v>1468299600</v>
      </c>
      <c r="L622" t="b">
        <v>0</v>
      </c>
      <c r="M622" t="b">
        <v>0</v>
      </c>
      <c r="N622" t="s">
        <v>122</v>
      </c>
    </row>
    <row r="623" spans="1:14" ht="17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t="s">
        <v>20</v>
      </c>
      <c r="G623">
        <v>2144</v>
      </c>
      <c r="H623" t="s">
        <v>21</v>
      </c>
      <c r="I623" t="s">
        <v>22</v>
      </c>
      <c r="J623">
        <v>1473742800</v>
      </c>
      <c r="K623">
        <v>1474174800</v>
      </c>
      <c r="L623" t="b">
        <v>0</v>
      </c>
      <c r="M623" t="b">
        <v>0</v>
      </c>
      <c r="N623" t="s">
        <v>33</v>
      </c>
    </row>
    <row r="624" spans="1:14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t="s">
        <v>14</v>
      </c>
      <c r="G624">
        <v>64</v>
      </c>
      <c r="H624" t="s">
        <v>21</v>
      </c>
      <c r="I624" t="s">
        <v>22</v>
      </c>
      <c r="J624">
        <v>1523768400</v>
      </c>
      <c r="K624">
        <v>1526014800</v>
      </c>
      <c r="L624" t="b">
        <v>0</v>
      </c>
      <c r="M624" t="b">
        <v>0</v>
      </c>
      <c r="N624" t="s">
        <v>60</v>
      </c>
    </row>
    <row r="625" spans="1:14" ht="17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t="s">
        <v>20</v>
      </c>
      <c r="G625">
        <v>2693</v>
      </c>
      <c r="H625" t="s">
        <v>40</v>
      </c>
      <c r="I625" t="s">
        <v>41</v>
      </c>
      <c r="J625">
        <v>1437022800</v>
      </c>
      <c r="K625">
        <v>1437454800</v>
      </c>
      <c r="L625" t="b">
        <v>0</v>
      </c>
      <c r="M625" t="b">
        <v>0</v>
      </c>
      <c r="N625" t="s">
        <v>33</v>
      </c>
    </row>
    <row r="626" spans="1:14" ht="17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t="s">
        <v>20</v>
      </c>
      <c r="G626">
        <v>432</v>
      </c>
      <c r="H626" t="s">
        <v>21</v>
      </c>
      <c r="I626" t="s">
        <v>22</v>
      </c>
      <c r="J626">
        <v>1422165600</v>
      </c>
      <c r="K626">
        <v>1422684000</v>
      </c>
      <c r="L626" t="b">
        <v>0</v>
      </c>
      <c r="M626" t="b">
        <v>0</v>
      </c>
      <c r="N626" t="s">
        <v>122</v>
      </c>
    </row>
    <row r="627" spans="1:14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t="s">
        <v>14</v>
      </c>
      <c r="G627">
        <v>62</v>
      </c>
      <c r="H627" t="s">
        <v>21</v>
      </c>
      <c r="I627" t="s">
        <v>22</v>
      </c>
      <c r="J627">
        <v>1580104800</v>
      </c>
      <c r="K627">
        <v>1581314400</v>
      </c>
      <c r="L627" t="b">
        <v>0</v>
      </c>
      <c r="M627" t="b">
        <v>0</v>
      </c>
      <c r="N627" t="s">
        <v>33</v>
      </c>
    </row>
    <row r="628" spans="1:14" ht="34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t="s">
        <v>20</v>
      </c>
      <c r="G628">
        <v>189</v>
      </c>
      <c r="H628" t="s">
        <v>21</v>
      </c>
      <c r="I628" t="s">
        <v>22</v>
      </c>
      <c r="J628">
        <v>1285650000</v>
      </c>
      <c r="K628">
        <v>1286427600</v>
      </c>
      <c r="L628" t="b">
        <v>0</v>
      </c>
      <c r="M628" t="b">
        <v>1</v>
      </c>
      <c r="N628" t="s">
        <v>33</v>
      </c>
    </row>
    <row r="629" spans="1:14" ht="17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t="s">
        <v>20</v>
      </c>
      <c r="G629">
        <v>154</v>
      </c>
      <c r="H629" t="s">
        <v>40</v>
      </c>
      <c r="I629" t="s">
        <v>41</v>
      </c>
      <c r="J629">
        <v>1276664400</v>
      </c>
      <c r="K629">
        <v>1278738000</v>
      </c>
      <c r="L629" t="b">
        <v>1</v>
      </c>
      <c r="M629" t="b">
        <v>0</v>
      </c>
      <c r="N629" t="s">
        <v>17</v>
      </c>
    </row>
    <row r="630" spans="1:14" ht="17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t="s">
        <v>20</v>
      </c>
      <c r="G630">
        <v>96</v>
      </c>
      <c r="H630" t="s">
        <v>21</v>
      </c>
      <c r="I630" t="s">
        <v>22</v>
      </c>
      <c r="J630">
        <v>1286168400</v>
      </c>
      <c r="K630">
        <v>1286427600</v>
      </c>
      <c r="L630" t="b">
        <v>0</v>
      </c>
      <c r="M630" t="b">
        <v>0</v>
      </c>
      <c r="N630" t="s">
        <v>60</v>
      </c>
    </row>
    <row r="631" spans="1:14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t="s">
        <v>14</v>
      </c>
      <c r="G631">
        <v>750</v>
      </c>
      <c r="H631" t="s">
        <v>21</v>
      </c>
      <c r="I631" t="s">
        <v>22</v>
      </c>
      <c r="J631">
        <v>1467781200</v>
      </c>
      <c r="K631">
        <v>1467954000</v>
      </c>
      <c r="L631" t="b">
        <v>0</v>
      </c>
      <c r="M631" t="b">
        <v>1</v>
      </c>
      <c r="N631" t="s">
        <v>33</v>
      </c>
    </row>
    <row r="632" spans="1:14" ht="17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t="s">
        <v>74</v>
      </c>
      <c r="G632">
        <v>87</v>
      </c>
      <c r="H632" t="s">
        <v>21</v>
      </c>
      <c r="I632" t="s">
        <v>22</v>
      </c>
      <c r="J632">
        <v>1556686800</v>
      </c>
      <c r="K632">
        <v>1557637200</v>
      </c>
      <c r="L632" t="b">
        <v>0</v>
      </c>
      <c r="M632" t="b">
        <v>1</v>
      </c>
      <c r="N632" t="s">
        <v>33</v>
      </c>
    </row>
    <row r="633" spans="1:14" ht="17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t="s">
        <v>20</v>
      </c>
      <c r="G633">
        <v>3063</v>
      </c>
      <c r="H633" t="s">
        <v>21</v>
      </c>
      <c r="I633" t="s">
        <v>22</v>
      </c>
      <c r="J633">
        <v>1553576400</v>
      </c>
      <c r="K633">
        <v>1553922000</v>
      </c>
      <c r="L633" t="b">
        <v>0</v>
      </c>
      <c r="M633" t="b">
        <v>0</v>
      </c>
      <c r="N633" t="s">
        <v>33</v>
      </c>
    </row>
    <row r="634" spans="1:14" ht="17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t="s">
        <v>47</v>
      </c>
      <c r="G634">
        <v>278</v>
      </c>
      <c r="H634" t="s">
        <v>21</v>
      </c>
      <c r="I634" t="s">
        <v>22</v>
      </c>
      <c r="J634">
        <v>1414904400</v>
      </c>
      <c r="K634">
        <v>1416463200</v>
      </c>
      <c r="L634" t="b">
        <v>0</v>
      </c>
      <c r="M634" t="b">
        <v>0</v>
      </c>
      <c r="N634" t="s">
        <v>33</v>
      </c>
    </row>
    <row r="635" spans="1:14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t="s">
        <v>14</v>
      </c>
      <c r="G635">
        <v>105</v>
      </c>
      <c r="H635" t="s">
        <v>21</v>
      </c>
      <c r="I635" t="s">
        <v>22</v>
      </c>
      <c r="J635">
        <v>1446876000</v>
      </c>
      <c r="K635">
        <v>1447221600</v>
      </c>
      <c r="L635" t="b">
        <v>0</v>
      </c>
      <c r="M635" t="b">
        <v>0</v>
      </c>
      <c r="N635" t="s">
        <v>71</v>
      </c>
    </row>
    <row r="636" spans="1:14" ht="17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t="s">
        <v>74</v>
      </c>
      <c r="G636">
        <v>1658</v>
      </c>
      <c r="H636" t="s">
        <v>21</v>
      </c>
      <c r="I636" t="s">
        <v>22</v>
      </c>
      <c r="J636">
        <v>1490418000</v>
      </c>
      <c r="K636">
        <v>1491627600</v>
      </c>
      <c r="L636" t="b">
        <v>0</v>
      </c>
      <c r="M636" t="b">
        <v>0</v>
      </c>
      <c r="N636" t="s">
        <v>269</v>
      </c>
    </row>
    <row r="637" spans="1:14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t="s">
        <v>20</v>
      </c>
      <c r="G637">
        <v>2266</v>
      </c>
      <c r="H637" t="s">
        <v>21</v>
      </c>
      <c r="I637" t="s">
        <v>22</v>
      </c>
      <c r="J637">
        <v>1360389600</v>
      </c>
      <c r="K637">
        <v>1363150800</v>
      </c>
      <c r="L637" t="b">
        <v>0</v>
      </c>
      <c r="M637" t="b">
        <v>0</v>
      </c>
      <c r="N637" t="s">
        <v>269</v>
      </c>
    </row>
    <row r="638" spans="1:14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t="s">
        <v>14</v>
      </c>
      <c r="G638">
        <v>2604</v>
      </c>
      <c r="H638" t="s">
        <v>36</v>
      </c>
      <c r="I638" t="s">
        <v>37</v>
      </c>
      <c r="J638">
        <v>1326866400</v>
      </c>
      <c r="K638">
        <v>1330754400</v>
      </c>
      <c r="L638" t="b">
        <v>0</v>
      </c>
      <c r="M638" t="b">
        <v>1</v>
      </c>
      <c r="N638" t="s">
        <v>71</v>
      </c>
    </row>
    <row r="639" spans="1:14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t="s">
        <v>14</v>
      </c>
      <c r="G639">
        <v>65</v>
      </c>
      <c r="H639" t="s">
        <v>21</v>
      </c>
      <c r="I639" t="s">
        <v>22</v>
      </c>
      <c r="J639">
        <v>1479103200</v>
      </c>
      <c r="K639">
        <v>1479794400</v>
      </c>
      <c r="L639" t="b">
        <v>0</v>
      </c>
      <c r="M639" t="b">
        <v>0</v>
      </c>
      <c r="N639" t="s">
        <v>33</v>
      </c>
    </row>
    <row r="640" spans="1:14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t="s">
        <v>14</v>
      </c>
      <c r="G640">
        <v>94</v>
      </c>
      <c r="H640" t="s">
        <v>21</v>
      </c>
      <c r="I640" t="s">
        <v>22</v>
      </c>
      <c r="J640">
        <v>1280206800</v>
      </c>
      <c r="K640">
        <v>1281243600</v>
      </c>
      <c r="L640" t="b">
        <v>0</v>
      </c>
      <c r="M640" t="b">
        <v>1</v>
      </c>
      <c r="N640" t="s">
        <v>33</v>
      </c>
    </row>
    <row r="641" spans="1:14" ht="17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t="s">
        <v>47</v>
      </c>
      <c r="G641">
        <v>45</v>
      </c>
      <c r="H641" t="s">
        <v>21</v>
      </c>
      <c r="I641" t="s">
        <v>22</v>
      </c>
      <c r="J641">
        <v>1532754000</v>
      </c>
      <c r="K641">
        <v>1532754000</v>
      </c>
      <c r="L641" t="b">
        <v>0</v>
      </c>
      <c r="M641" t="b">
        <v>1</v>
      </c>
      <c r="N641" t="s">
        <v>53</v>
      </c>
    </row>
    <row r="642" spans="1:14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t="s">
        <v>14</v>
      </c>
      <c r="G642">
        <v>257</v>
      </c>
      <c r="H642" t="s">
        <v>21</v>
      </c>
      <c r="I642" t="s">
        <v>22</v>
      </c>
      <c r="J642">
        <v>1453096800</v>
      </c>
      <c r="K642">
        <v>1453356000</v>
      </c>
      <c r="L642" t="b">
        <v>0</v>
      </c>
      <c r="M642" t="b">
        <v>0</v>
      </c>
      <c r="N642" t="s">
        <v>33</v>
      </c>
    </row>
    <row r="643" spans="1:14" ht="34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t="s">
        <v>20</v>
      </c>
      <c r="G643">
        <v>194</v>
      </c>
      <c r="H643" t="s">
        <v>98</v>
      </c>
      <c r="I643" t="s">
        <v>99</v>
      </c>
      <c r="J643">
        <v>1487570400</v>
      </c>
      <c r="K643">
        <v>1489986000</v>
      </c>
      <c r="L643" t="b">
        <v>0</v>
      </c>
      <c r="M643" t="b">
        <v>0</v>
      </c>
      <c r="N643" t="s">
        <v>33</v>
      </c>
    </row>
    <row r="644" spans="1:14" ht="17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t="s">
        <v>20</v>
      </c>
      <c r="G644">
        <v>129</v>
      </c>
      <c r="H644" t="s">
        <v>15</v>
      </c>
      <c r="I644" t="s">
        <v>16</v>
      </c>
      <c r="J644">
        <v>1545026400</v>
      </c>
      <c r="K644">
        <v>1545804000</v>
      </c>
      <c r="L644" t="b">
        <v>0</v>
      </c>
      <c r="M644" t="b">
        <v>0</v>
      </c>
      <c r="N644" t="s">
        <v>65</v>
      </c>
    </row>
    <row r="645" spans="1:14" ht="17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t="s">
        <v>20</v>
      </c>
      <c r="G645">
        <v>375</v>
      </c>
      <c r="H645" t="s">
        <v>21</v>
      </c>
      <c r="I645" t="s">
        <v>22</v>
      </c>
      <c r="J645">
        <v>1488348000</v>
      </c>
      <c r="K645">
        <v>1489899600</v>
      </c>
      <c r="L645" t="b">
        <v>0</v>
      </c>
      <c r="M645" t="b">
        <v>0</v>
      </c>
      <c r="N645" t="s">
        <v>33</v>
      </c>
    </row>
    <row r="646" spans="1:14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>
        <v>1546495200</v>
      </c>
      <c r="L646" t="b">
        <v>0</v>
      </c>
      <c r="M646" t="b">
        <v>0</v>
      </c>
      <c r="N646" t="s">
        <v>33</v>
      </c>
    </row>
    <row r="647" spans="1:14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t="s">
        <v>14</v>
      </c>
      <c r="G647">
        <v>4697</v>
      </c>
      <c r="H647" t="s">
        <v>21</v>
      </c>
      <c r="I647" t="s">
        <v>22</v>
      </c>
      <c r="J647">
        <v>1537938000</v>
      </c>
      <c r="K647">
        <v>1539752400</v>
      </c>
      <c r="L647" t="b">
        <v>0</v>
      </c>
      <c r="M647" t="b">
        <v>1</v>
      </c>
      <c r="N647" t="s">
        <v>23</v>
      </c>
    </row>
    <row r="648" spans="1:14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t="s">
        <v>14</v>
      </c>
      <c r="G648">
        <v>2915</v>
      </c>
      <c r="H648" t="s">
        <v>21</v>
      </c>
      <c r="I648" t="s">
        <v>22</v>
      </c>
      <c r="J648">
        <v>1363150800</v>
      </c>
      <c r="K648">
        <v>1364101200</v>
      </c>
      <c r="L648" t="b">
        <v>0</v>
      </c>
      <c r="M648" t="b">
        <v>0</v>
      </c>
      <c r="N648" t="s">
        <v>89</v>
      </c>
    </row>
    <row r="649" spans="1:14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t="s">
        <v>14</v>
      </c>
      <c r="G649">
        <v>18</v>
      </c>
      <c r="H649" t="s">
        <v>21</v>
      </c>
      <c r="I649" t="s">
        <v>22</v>
      </c>
      <c r="J649">
        <v>1523250000</v>
      </c>
      <c r="K649">
        <v>1525323600</v>
      </c>
      <c r="L649" t="b">
        <v>0</v>
      </c>
      <c r="M649" t="b">
        <v>0</v>
      </c>
      <c r="N649" t="s">
        <v>206</v>
      </c>
    </row>
    <row r="650" spans="1:14" ht="17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t="s">
        <v>74</v>
      </c>
      <c r="G650">
        <v>723</v>
      </c>
      <c r="H650" t="s">
        <v>21</v>
      </c>
      <c r="I650" t="s">
        <v>22</v>
      </c>
      <c r="J650">
        <v>1499317200</v>
      </c>
      <c r="K650">
        <v>1500872400</v>
      </c>
      <c r="L650" t="b">
        <v>1</v>
      </c>
      <c r="M650" t="b">
        <v>0</v>
      </c>
      <c r="N650" t="s">
        <v>17</v>
      </c>
    </row>
    <row r="651" spans="1:14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t="s">
        <v>14</v>
      </c>
      <c r="G651">
        <v>602</v>
      </c>
      <c r="H651" t="s">
        <v>98</v>
      </c>
      <c r="I651" t="s">
        <v>99</v>
      </c>
      <c r="J651">
        <v>1287550800</v>
      </c>
      <c r="K651">
        <v>1288501200</v>
      </c>
      <c r="L651" t="b">
        <v>1</v>
      </c>
      <c r="M651" t="b">
        <v>1</v>
      </c>
      <c r="N651" t="s">
        <v>33</v>
      </c>
    </row>
    <row r="652" spans="1:14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t="s">
        <v>14</v>
      </c>
      <c r="G652">
        <v>1</v>
      </c>
      <c r="H652" t="s">
        <v>21</v>
      </c>
      <c r="I652" t="s">
        <v>22</v>
      </c>
      <c r="J652">
        <v>1404795600</v>
      </c>
      <c r="K652">
        <v>1407128400</v>
      </c>
      <c r="L652" t="b">
        <v>0</v>
      </c>
      <c r="M652" t="b">
        <v>0</v>
      </c>
      <c r="N652" t="s">
        <v>159</v>
      </c>
    </row>
    <row r="653" spans="1:14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t="s">
        <v>14</v>
      </c>
      <c r="G653">
        <v>3868</v>
      </c>
      <c r="H653" t="s">
        <v>107</v>
      </c>
      <c r="I653" t="s">
        <v>108</v>
      </c>
      <c r="J653">
        <v>1393048800</v>
      </c>
      <c r="K653">
        <v>1394344800</v>
      </c>
      <c r="L653" t="b">
        <v>0</v>
      </c>
      <c r="M653" t="b">
        <v>0</v>
      </c>
      <c r="N653" t="s">
        <v>100</v>
      </c>
    </row>
    <row r="654" spans="1:14" ht="17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t="s">
        <v>20</v>
      </c>
      <c r="G654">
        <v>409</v>
      </c>
      <c r="H654" t="s">
        <v>21</v>
      </c>
      <c r="I654" t="s">
        <v>22</v>
      </c>
      <c r="J654">
        <v>1470373200</v>
      </c>
      <c r="K654">
        <v>1474088400</v>
      </c>
      <c r="L654" t="b">
        <v>0</v>
      </c>
      <c r="M654" t="b">
        <v>0</v>
      </c>
      <c r="N654" t="s">
        <v>28</v>
      </c>
    </row>
    <row r="655" spans="1:14" ht="17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t="s">
        <v>20</v>
      </c>
      <c r="G655">
        <v>234</v>
      </c>
      <c r="H655" t="s">
        <v>21</v>
      </c>
      <c r="I655" t="s">
        <v>22</v>
      </c>
      <c r="J655">
        <v>1460091600</v>
      </c>
      <c r="K655">
        <v>1460264400</v>
      </c>
      <c r="L655" t="b">
        <v>0</v>
      </c>
      <c r="M655" t="b">
        <v>0</v>
      </c>
      <c r="N655" t="s">
        <v>28</v>
      </c>
    </row>
    <row r="656" spans="1:14" ht="17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t="s">
        <v>20</v>
      </c>
      <c r="G656">
        <v>3016</v>
      </c>
      <c r="H656" t="s">
        <v>21</v>
      </c>
      <c r="I656" t="s">
        <v>22</v>
      </c>
      <c r="J656">
        <v>1440392400</v>
      </c>
      <c r="K656">
        <v>1440824400</v>
      </c>
      <c r="L656" t="b">
        <v>0</v>
      </c>
      <c r="M656" t="b">
        <v>0</v>
      </c>
      <c r="N656" t="s">
        <v>148</v>
      </c>
    </row>
    <row r="657" spans="1:14" ht="17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t="s">
        <v>20</v>
      </c>
      <c r="G657">
        <v>264</v>
      </c>
      <c r="H657" t="s">
        <v>21</v>
      </c>
      <c r="I657" t="s">
        <v>22</v>
      </c>
      <c r="J657">
        <v>1488434400</v>
      </c>
      <c r="K657">
        <v>1489554000</v>
      </c>
      <c r="L657" t="b">
        <v>1</v>
      </c>
      <c r="M657" t="b">
        <v>0</v>
      </c>
      <c r="N657" t="s">
        <v>122</v>
      </c>
    </row>
    <row r="658" spans="1:14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t="s">
        <v>14</v>
      </c>
      <c r="G658">
        <v>504</v>
      </c>
      <c r="H658" t="s">
        <v>26</v>
      </c>
      <c r="I658" t="s">
        <v>27</v>
      </c>
      <c r="J658">
        <v>1514440800</v>
      </c>
      <c r="K658">
        <v>1514872800</v>
      </c>
      <c r="L658" t="b">
        <v>0</v>
      </c>
      <c r="M658" t="b">
        <v>0</v>
      </c>
      <c r="N658" t="s">
        <v>17</v>
      </c>
    </row>
    <row r="659" spans="1:14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t="s">
        <v>14</v>
      </c>
      <c r="G659">
        <v>14</v>
      </c>
      <c r="H659" t="s">
        <v>21</v>
      </c>
      <c r="I659" t="s">
        <v>22</v>
      </c>
      <c r="J659">
        <v>1514354400</v>
      </c>
      <c r="K659">
        <v>1515736800</v>
      </c>
      <c r="L659" t="b">
        <v>0</v>
      </c>
      <c r="M659" t="b">
        <v>0</v>
      </c>
      <c r="N659" t="s">
        <v>474</v>
      </c>
    </row>
    <row r="660" spans="1:14" ht="17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t="s">
        <v>74</v>
      </c>
      <c r="G660">
        <v>390</v>
      </c>
      <c r="H660" t="s">
        <v>21</v>
      </c>
      <c r="I660" t="s">
        <v>22</v>
      </c>
      <c r="J660">
        <v>1440910800</v>
      </c>
      <c r="K660">
        <v>1442898000</v>
      </c>
      <c r="L660" t="b">
        <v>0</v>
      </c>
      <c r="M660" t="b">
        <v>0</v>
      </c>
      <c r="N660" t="s">
        <v>23</v>
      </c>
    </row>
    <row r="661" spans="1:14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t="s">
        <v>14</v>
      </c>
      <c r="G661">
        <v>750</v>
      </c>
      <c r="H661" t="s">
        <v>40</v>
      </c>
      <c r="I661" t="s">
        <v>41</v>
      </c>
      <c r="J661">
        <v>1296108000</v>
      </c>
      <c r="K661">
        <v>1296194400</v>
      </c>
      <c r="L661" t="b">
        <v>0</v>
      </c>
      <c r="M661" t="b">
        <v>0</v>
      </c>
      <c r="N661" t="s">
        <v>42</v>
      </c>
    </row>
    <row r="662" spans="1:14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t="s">
        <v>14</v>
      </c>
      <c r="G662">
        <v>77</v>
      </c>
      <c r="H662" t="s">
        <v>21</v>
      </c>
      <c r="I662" t="s">
        <v>22</v>
      </c>
      <c r="J662">
        <v>1440133200</v>
      </c>
      <c r="K662">
        <v>1440910800</v>
      </c>
      <c r="L662" t="b">
        <v>1</v>
      </c>
      <c r="M662" t="b">
        <v>0</v>
      </c>
      <c r="N662" t="s">
        <v>33</v>
      </c>
    </row>
    <row r="663" spans="1:14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t="s">
        <v>14</v>
      </c>
      <c r="G663">
        <v>752</v>
      </c>
      <c r="H663" t="s">
        <v>36</v>
      </c>
      <c r="I663" t="s">
        <v>37</v>
      </c>
      <c r="J663">
        <v>1332910800</v>
      </c>
      <c r="K663">
        <v>1335502800</v>
      </c>
      <c r="L663" t="b">
        <v>0</v>
      </c>
      <c r="M663" t="b">
        <v>0</v>
      </c>
      <c r="N663" t="s">
        <v>159</v>
      </c>
    </row>
    <row r="664" spans="1:14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t="s">
        <v>14</v>
      </c>
      <c r="G664">
        <v>131</v>
      </c>
      <c r="H664" t="s">
        <v>21</v>
      </c>
      <c r="I664" t="s">
        <v>22</v>
      </c>
      <c r="J664">
        <v>1544335200</v>
      </c>
      <c r="K664">
        <v>1544680800</v>
      </c>
      <c r="L664" t="b">
        <v>0</v>
      </c>
      <c r="M664" t="b">
        <v>0</v>
      </c>
      <c r="N664" t="s">
        <v>33</v>
      </c>
    </row>
    <row r="665" spans="1:14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t="s">
        <v>14</v>
      </c>
      <c r="G665">
        <v>87</v>
      </c>
      <c r="H665" t="s">
        <v>21</v>
      </c>
      <c r="I665" t="s">
        <v>22</v>
      </c>
      <c r="J665">
        <v>1286427600</v>
      </c>
      <c r="K665">
        <v>1288414800</v>
      </c>
      <c r="L665" t="b">
        <v>0</v>
      </c>
      <c r="M665" t="b">
        <v>0</v>
      </c>
      <c r="N665" t="s">
        <v>33</v>
      </c>
    </row>
    <row r="666" spans="1:14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t="s">
        <v>14</v>
      </c>
      <c r="G666">
        <v>1063</v>
      </c>
      <c r="H666" t="s">
        <v>21</v>
      </c>
      <c r="I666" t="s">
        <v>22</v>
      </c>
      <c r="J666">
        <v>1329717600</v>
      </c>
      <c r="K666">
        <v>1330581600</v>
      </c>
      <c r="L666" t="b">
        <v>0</v>
      </c>
      <c r="M666" t="b">
        <v>0</v>
      </c>
      <c r="N666" t="s">
        <v>159</v>
      </c>
    </row>
    <row r="667" spans="1:14" ht="17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t="s">
        <v>20</v>
      </c>
      <c r="G667">
        <v>272</v>
      </c>
      <c r="H667" t="s">
        <v>21</v>
      </c>
      <c r="I667" t="s">
        <v>22</v>
      </c>
      <c r="J667">
        <v>1310187600</v>
      </c>
      <c r="K667">
        <v>1311397200</v>
      </c>
      <c r="L667" t="b">
        <v>0</v>
      </c>
      <c r="M667" t="b">
        <v>1</v>
      </c>
      <c r="N667" t="s">
        <v>42</v>
      </c>
    </row>
    <row r="668" spans="1:14" ht="17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t="s">
        <v>74</v>
      </c>
      <c r="G668">
        <v>25</v>
      </c>
      <c r="H668" t="s">
        <v>21</v>
      </c>
      <c r="I668" t="s">
        <v>22</v>
      </c>
      <c r="J668">
        <v>1377838800</v>
      </c>
      <c r="K668">
        <v>1378357200</v>
      </c>
      <c r="L668" t="b">
        <v>0</v>
      </c>
      <c r="M668" t="b">
        <v>1</v>
      </c>
      <c r="N668" t="s">
        <v>33</v>
      </c>
    </row>
    <row r="669" spans="1:14" ht="34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t="s">
        <v>20</v>
      </c>
      <c r="G669">
        <v>419</v>
      </c>
      <c r="H669" t="s">
        <v>21</v>
      </c>
      <c r="I669" t="s">
        <v>22</v>
      </c>
      <c r="J669">
        <v>1410325200</v>
      </c>
      <c r="K669">
        <v>1411102800</v>
      </c>
      <c r="L669" t="b">
        <v>0</v>
      </c>
      <c r="M669" t="b">
        <v>0</v>
      </c>
      <c r="N669" t="s">
        <v>1029</v>
      </c>
    </row>
    <row r="670" spans="1:14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t="s">
        <v>14</v>
      </c>
      <c r="G670">
        <v>76</v>
      </c>
      <c r="H670" t="s">
        <v>21</v>
      </c>
      <c r="I670" t="s">
        <v>22</v>
      </c>
      <c r="J670">
        <v>1343797200</v>
      </c>
      <c r="K670">
        <v>1344834000</v>
      </c>
      <c r="L670" t="b">
        <v>0</v>
      </c>
      <c r="M670" t="b">
        <v>0</v>
      </c>
      <c r="N670" t="s">
        <v>33</v>
      </c>
    </row>
    <row r="671" spans="1:14" ht="17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t="s">
        <v>20</v>
      </c>
      <c r="G671">
        <v>1621</v>
      </c>
      <c r="H671" t="s">
        <v>107</v>
      </c>
      <c r="I671" t="s">
        <v>108</v>
      </c>
      <c r="J671">
        <v>1498453200</v>
      </c>
      <c r="K671">
        <v>1499230800</v>
      </c>
      <c r="L671" t="b">
        <v>0</v>
      </c>
      <c r="M671" t="b">
        <v>0</v>
      </c>
      <c r="N671" t="s">
        <v>33</v>
      </c>
    </row>
    <row r="672" spans="1:14" ht="34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t="s">
        <v>20</v>
      </c>
      <c r="G672">
        <v>1101</v>
      </c>
      <c r="H672" t="s">
        <v>21</v>
      </c>
      <c r="I672" t="s">
        <v>22</v>
      </c>
      <c r="J672">
        <v>1456380000</v>
      </c>
      <c r="K672">
        <v>1457416800</v>
      </c>
      <c r="L672" t="b">
        <v>0</v>
      </c>
      <c r="M672" t="b">
        <v>0</v>
      </c>
      <c r="N672" t="s">
        <v>60</v>
      </c>
    </row>
    <row r="673" spans="1:14" ht="34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t="s">
        <v>20</v>
      </c>
      <c r="G673">
        <v>1073</v>
      </c>
      <c r="H673" t="s">
        <v>21</v>
      </c>
      <c r="I673" t="s">
        <v>22</v>
      </c>
      <c r="J673">
        <v>1280552400</v>
      </c>
      <c r="K673">
        <v>1280898000</v>
      </c>
      <c r="L673" t="b">
        <v>0</v>
      </c>
      <c r="M673" t="b">
        <v>1</v>
      </c>
      <c r="N673" t="s">
        <v>33</v>
      </c>
    </row>
    <row r="674" spans="1:14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t="s">
        <v>14</v>
      </c>
      <c r="G674">
        <v>4428</v>
      </c>
      <c r="H674" t="s">
        <v>26</v>
      </c>
      <c r="I674" t="s">
        <v>27</v>
      </c>
      <c r="J674">
        <v>1521608400</v>
      </c>
      <c r="K674">
        <v>1522472400</v>
      </c>
      <c r="L674" t="b">
        <v>0</v>
      </c>
      <c r="M674" t="b">
        <v>0</v>
      </c>
      <c r="N674" t="s">
        <v>33</v>
      </c>
    </row>
    <row r="675" spans="1:14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t="s">
        <v>14</v>
      </c>
      <c r="G675">
        <v>58</v>
      </c>
      <c r="H675" t="s">
        <v>107</v>
      </c>
      <c r="I675" t="s">
        <v>108</v>
      </c>
      <c r="J675">
        <v>1460696400</v>
      </c>
      <c r="K675">
        <v>1462510800</v>
      </c>
      <c r="L675" t="b">
        <v>0</v>
      </c>
      <c r="M675" t="b">
        <v>0</v>
      </c>
      <c r="N675" t="s">
        <v>60</v>
      </c>
    </row>
    <row r="676" spans="1:14" ht="17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t="s">
        <v>74</v>
      </c>
      <c r="G676">
        <v>1218</v>
      </c>
      <c r="H676" t="s">
        <v>21</v>
      </c>
      <c r="I676" t="s">
        <v>22</v>
      </c>
      <c r="J676">
        <v>1313730000</v>
      </c>
      <c r="K676">
        <v>1317790800</v>
      </c>
      <c r="L676" t="b">
        <v>0</v>
      </c>
      <c r="M676" t="b">
        <v>0</v>
      </c>
      <c r="N676" t="s">
        <v>122</v>
      </c>
    </row>
    <row r="677" spans="1:14" ht="17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t="s">
        <v>20</v>
      </c>
      <c r="G677">
        <v>331</v>
      </c>
      <c r="H677" t="s">
        <v>21</v>
      </c>
      <c r="I677" t="s">
        <v>22</v>
      </c>
      <c r="J677">
        <v>1568178000</v>
      </c>
      <c r="K677">
        <v>1568782800</v>
      </c>
      <c r="L677" t="b">
        <v>0</v>
      </c>
      <c r="M677" t="b">
        <v>0</v>
      </c>
      <c r="N677" t="s">
        <v>1029</v>
      </c>
    </row>
    <row r="678" spans="1:14" ht="17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t="s">
        <v>20</v>
      </c>
      <c r="G678">
        <v>1170</v>
      </c>
      <c r="H678" t="s">
        <v>21</v>
      </c>
      <c r="I678" t="s">
        <v>22</v>
      </c>
      <c r="J678">
        <v>1348635600</v>
      </c>
      <c r="K678">
        <v>1349413200</v>
      </c>
      <c r="L678" t="b">
        <v>0</v>
      </c>
      <c r="M678" t="b">
        <v>0</v>
      </c>
      <c r="N678" t="s">
        <v>122</v>
      </c>
    </row>
    <row r="679" spans="1:14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t="s">
        <v>14</v>
      </c>
      <c r="G679">
        <v>111</v>
      </c>
      <c r="H679" t="s">
        <v>21</v>
      </c>
      <c r="I679" t="s">
        <v>22</v>
      </c>
      <c r="J679">
        <v>1468126800</v>
      </c>
      <c r="K679">
        <v>1472446800</v>
      </c>
      <c r="L679" t="b">
        <v>0</v>
      </c>
      <c r="M679" t="b">
        <v>0</v>
      </c>
      <c r="N679" t="s">
        <v>119</v>
      </c>
    </row>
    <row r="680" spans="1:14" ht="17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t="s">
        <v>74</v>
      </c>
      <c r="G680">
        <v>215</v>
      </c>
      <c r="H680" t="s">
        <v>21</v>
      </c>
      <c r="I680" t="s">
        <v>22</v>
      </c>
      <c r="J680">
        <v>1547877600</v>
      </c>
      <c r="K680">
        <v>1548050400</v>
      </c>
      <c r="L680" t="b">
        <v>0</v>
      </c>
      <c r="M680" t="b">
        <v>0</v>
      </c>
      <c r="N680" t="s">
        <v>53</v>
      </c>
    </row>
    <row r="681" spans="1:14" ht="17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t="s">
        <v>20</v>
      </c>
      <c r="G681">
        <v>363</v>
      </c>
      <c r="H681" t="s">
        <v>21</v>
      </c>
      <c r="I681" t="s">
        <v>22</v>
      </c>
      <c r="J681">
        <v>1571374800</v>
      </c>
      <c r="K681">
        <v>1571806800</v>
      </c>
      <c r="L681" t="b">
        <v>0</v>
      </c>
      <c r="M681" t="b">
        <v>1</v>
      </c>
      <c r="N681" t="s">
        <v>17</v>
      </c>
    </row>
    <row r="682" spans="1:14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t="s">
        <v>14</v>
      </c>
      <c r="G682">
        <v>2955</v>
      </c>
      <c r="H682" t="s">
        <v>21</v>
      </c>
      <c r="I682" t="s">
        <v>22</v>
      </c>
      <c r="J682">
        <v>1576303200</v>
      </c>
      <c r="K682">
        <v>1576476000</v>
      </c>
      <c r="L682" t="b">
        <v>0</v>
      </c>
      <c r="M682" t="b">
        <v>1</v>
      </c>
      <c r="N682" t="s">
        <v>292</v>
      </c>
    </row>
    <row r="683" spans="1:14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t="s">
        <v>14</v>
      </c>
      <c r="G683">
        <v>1657</v>
      </c>
      <c r="H683" t="s">
        <v>21</v>
      </c>
      <c r="I683" t="s">
        <v>22</v>
      </c>
      <c r="J683">
        <v>1324447200</v>
      </c>
      <c r="K683">
        <v>1324965600</v>
      </c>
      <c r="L683" t="b">
        <v>0</v>
      </c>
      <c r="M683" t="b">
        <v>0</v>
      </c>
      <c r="N683" t="s">
        <v>33</v>
      </c>
    </row>
    <row r="684" spans="1:14" ht="17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t="s">
        <v>20</v>
      </c>
      <c r="G684">
        <v>103</v>
      </c>
      <c r="H684" t="s">
        <v>21</v>
      </c>
      <c r="I684" t="s">
        <v>22</v>
      </c>
      <c r="J684">
        <v>1386741600</v>
      </c>
      <c r="K684">
        <v>1387519200</v>
      </c>
      <c r="L684" t="b">
        <v>0</v>
      </c>
      <c r="M684" t="b">
        <v>0</v>
      </c>
      <c r="N684" t="s">
        <v>33</v>
      </c>
    </row>
    <row r="685" spans="1:14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t="s">
        <v>20</v>
      </c>
      <c r="G685">
        <v>147</v>
      </c>
      <c r="H685" t="s">
        <v>21</v>
      </c>
      <c r="I685" t="s">
        <v>22</v>
      </c>
      <c r="J685">
        <v>1537074000</v>
      </c>
      <c r="K685">
        <v>1537246800</v>
      </c>
      <c r="L685" t="b">
        <v>0</v>
      </c>
      <c r="M685" t="b">
        <v>0</v>
      </c>
      <c r="N685" t="s">
        <v>33</v>
      </c>
    </row>
    <row r="686" spans="1:14" ht="17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t="s">
        <v>20</v>
      </c>
      <c r="G686">
        <v>110</v>
      </c>
      <c r="H686" t="s">
        <v>15</v>
      </c>
      <c r="I686" t="s">
        <v>16</v>
      </c>
      <c r="J686">
        <v>1277787600</v>
      </c>
      <c r="K686">
        <v>1279515600</v>
      </c>
      <c r="L686" t="b">
        <v>0</v>
      </c>
      <c r="M686" t="b">
        <v>0</v>
      </c>
      <c r="N686" t="s">
        <v>68</v>
      </c>
    </row>
    <row r="687" spans="1:14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>
        <v>1442379600</v>
      </c>
      <c r="L687" t="b">
        <v>0</v>
      </c>
      <c r="M687" t="b">
        <v>0</v>
      </c>
      <c r="N687" t="s">
        <v>33</v>
      </c>
    </row>
    <row r="688" spans="1:14" ht="17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t="s">
        <v>20</v>
      </c>
      <c r="G688">
        <v>134</v>
      </c>
      <c r="H688" t="s">
        <v>21</v>
      </c>
      <c r="I688" t="s">
        <v>22</v>
      </c>
      <c r="J688">
        <v>1522126800</v>
      </c>
      <c r="K688">
        <v>1523077200</v>
      </c>
      <c r="L688" t="b">
        <v>0</v>
      </c>
      <c r="M688" t="b">
        <v>0</v>
      </c>
      <c r="N688" t="s">
        <v>65</v>
      </c>
    </row>
    <row r="689" spans="1:14" ht="17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t="s">
        <v>20</v>
      </c>
      <c r="G689">
        <v>269</v>
      </c>
      <c r="H689" t="s">
        <v>21</v>
      </c>
      <c r="I689" t="s">
        <v>22</v>
      </c>
      <c r="J689">
        <v>1489298400</v>
      </c>
      <c r="K689">
        <v>1489554000</v>
      </c>
      <c r="L689" t="b">
        <v>0</v>
      </c>
      <c r="M689" t="b">
        <v>0</v>
      </c>
      <c r="N689" t="s">
        <v>33</v>
      </c>
    </row>
    <row r="690" spans="1:14" ht="17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t="s">
        <v>20</v>
      </c>
      <c r="G690">
        <v>175</v>
      </c>
      <c r="H690" t="s">
        <v>21</v>
      </c>
      <c r="I690" t="s">
        <v>22</v>
      </c>
      <c r="J690">
        <v>1547100000</v>
      </c>
      <c r="K690">
        <v>1548482400</v>
      </c>
      <c r="L690" t="b">
        <v>0</v>
      </c>
      <c r="M690" t="b">
        <v>1</v>
      </c>
      <c r="N690" t="s">
        <v>269</v>
      </c>
    </row>
    <row r="691" spans="1:14" ht="17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t="s">
        <v>20</v>
      </c>
      <c r="G691">
        <v>69</v>
      </c>
      <c r="H691" t="s">
        <v>21</v>
      </c>
      <c r="I691" t="s">
        <v>22</v>
      </c>
      <c r="J691">
        <v>1383022800</v>
      </c>
      <c r="K691">
        <v>1384063200</v>
      </c>
      <c r="L691" t="b">
        <v>0</v>
      </c>
      <c r="M691" t="b">
        <v>0</v>
      </c>
      <c r="N691" t="s">
        <v>28</v>
      </c>
    </row>
    <row r="692" spans="1:14" ht="17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t="s">
        <v>20</v>
      </c>
      <c r="G692">
        <v>190</v>
      </c>
      <c r="H692" t="s">
        <v>21</v>
      </c>
      <c r="I692" t="s">
        <v>22</v>
      </c>
      <c r="J692">
        <v>1322373600</v>
      </c>
      <c r="K692">
        <v>1322892000</v>
      </c>
      <c r="L692" t="b">
        <v>0</v>
      </c>
      <c r="M692" t="b">
        <v>1</v>
      </c>
      <c r="N692" t="s">
        <v>42</v>
      </c>
    </row>
    <row r="693" spans="1:14" ht="17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t="s">
        <v>20</v>
      </c>
      <c r="G693">
        <v>237</v>
      </c>
      <c r="H693" t="s">
        <v>21</v>
      </c>
      <c r="I693" t="s">
        <v>22</v>
      </c>
      <c r="J693">
        <v>1349240400</v>
      </c>
      <c r="K693">
        <v>1350709200</v>
      </c>
      <c r="L693" t="b">
        <v>1</v>
      </c>
      <c r="M693" t="b">
        <v>1</v>
      </c>
      <c r="N693" t="s">
        <v>42</v>
      </c>
    </row>
    <row r="694" spans="1:14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t="s">
        <v>14</v>
      </c>
      <c r="G694">
        <v>77</v>
      </c>
      <c r="H694" t="s">
        <v>40</v>
      </c>
      <c r="I694" t="s">
        <v>41</v>
      </c>
      <c r="J694">
        <v>1562648400</v>
      </c>
      <c r="K694">
        <v>1564203600</v>
      </c>
      <c r="L694" t="b">
        <v>0</v>
      </c>
      <c r="M694" t="b">
        <v>0</v>
      </c>
      <c r="N694" t="s">
        <v>23</v>
      </c>
    </row>
    <row r="695" spans="1:14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t="s">
        <v>14</v>
      </c>
      <c r="G695">
        <v>1748</v>
      </c>
      <c r="H695" t="s">
        <v>21</v>
      </c>
      <c r="I695" t="s">
        <v>22</v>
      </c>
      <c r="J695">
        <v>1508216400</v>
      </c>
      <c r="K695">
        <v>1509685200</v>
      </c>
      <c r="L695" t="b">
        <v>0</v>
      </c>
      <c r="M695" t="b">
        <v>0</v>
      </c>
      <c r="N695" t="s">
        <v>33</v>
      </c>
    </row>
    <row r="696" spans="1:14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t="s">
        <v>14</v>
      </c>
      <c r="G696">
        <v>79</v>
      </c>
      <c r="H696" t="s">
        <v>21</v>
      </c>
      <c r="I696" t="s">
        <v>22</v>
      </c>
      <c r="J696">
        <v>1511762400</v>
      </c>
      <c r="K696">
        <v>1514959200</v>
      </c>
      <c r="L696" t="b">
        <v>0</v>
      </c>
      <c r="M696" t="b">
        <v>0</v>
      </c>
      <c r="N696" t="s">
        <v>33</v>
      </c>
    </row>
    <row r="697" spans="1:14" ht="17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t="s">
        <v>20</v>
      </c>
      <c r="G697">
        <v>196</v>
      </c>
      <c r="H697" t="s">
        <v>107</v>
      </c>
      <c r="I697" t="s">
        <v>108</v>
      </c>
      <c r="J697">
        <v>1447480800</v>
      </c>
      <c r="K697">
        <v>1448863200</v>
      </c>
      <c r="L697" t="b">
        <v>1</v>
      </c>
      <c r="M697" t="b">
        <v>0</v>
      </c>
      <c r="N697" t="s">
        <v>23</v>
      </c>
    </row>
    <row r="698" spans="1:14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t="s">
        <v>14</v>
      </c>
      <c r="G698">
        <v>889</v>
      </c>
      <c r="H698" t="s">
        <v>21</v>
      </c>
      <c r="I698" t="s">
        <v>22</v>
      </c>
      <c r="J698">
        <v>1429506000</v>
      </c>
      <c r="K698">
        <v>1429592400</v>
      </c>
      <c r="L698" t="b">
        <v>0</v>
      </c>
      <c r="M698" t="b">
        <v>1</v>
      </c>
      <c r="N698" t="s">
        <v>33</v>
      </c>
    </row>
    <row r="699" spans="1:14" ht="34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t="s">
        <v>20</v>
      </c>
      <c r="G699">
        <v>7295</v>
      </c>
      <c r="H699" t="s">
        <v>21</v>
      </c>
      <c r="I699" t="s">
        <v>22</v>
      </c>
      <c r="J699">
        <v>1522472400</v>
      </c>
      <c r="K699">
        <v>1522645200</v>
      </c>
      <c r="L699" t="b">
        <v>0</v>
      </c>
      <c r="M699" t="b">
        <v>0</v>
      </c>
      <c r="N699" t="s">
        <v>50</v>
      </c>
    </row>
    <row r="700" spans="1:14" ht="17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t="s">
        <v>20</v>
      </c>
      <c r="G700">
        <v>2893</v>
      </c>
      <c r="H700" t="s">
        <v>15</v>
      </c>
      <c r="I700" t="s">
        <v>16</v>
      </c>
      <c r="J700">
        <v>1322114400</v>
      </c>
      <c r="K700">
        <v>1323324000</v>
      </c>
      <c r="L700" t="b">
        <v>0</v>
      </c>
      <c r="M700" t="b">
        <v>0</v>
      </c>
      <c r="N700" t="s">
        <v>65</v>
      </c>
    </row>
    <row r="701" spans="1:14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t="s">
        <v>14</v>
      </c>
      <c r="G701">
        <v>56</v>
      </c>
      <c r="H701" t="s">
        <v>21</v>
      </c>
      <c r="I701" t="s">
        <v>22</v>
      </c>
      <c r="J701">
        <v>1561438800</v>
      </c>
      <c r="K701">
        <v>1561525200</v>
      </c>
      <c r="L701" t="b">
        <v>0</v>
      </c>
      <c r="M701" t="b">
        <v>0</v>
      </c>
      <c r="N701" t="s">
        <v>53</v>
      </c>
    </row>
    <row r="702" spans="1:14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t="s">
        <v>14</v>
      </c>
      <c r="G702">
        <v>1</v>
      </c>
      <c r="H702" t="s">
        <v>21</v>
      </c>
      <c r="I702" t="s">
        <v>22</v>
      </c>
      <c r="J702">
        <v>1264399200</v>
      </c>
      <c r="K702">
        <v>1265695200</v>
      </c>
      <c r="L702" t="b">
        <v>0</v>
      </c>
      <c r="M702" t="b">
        <v>0</v>
      </c>
      <c r="N702" t="s">
        <v>65</v>
      </c>
    </row>
    <row r="703" spans="1:14" ht="34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t="s">
        <v>20</v>
      </c>
      <c r="G703">
        <v>820</v>
      </c>
      <c r="H703" t="s">
        <v>21</v>
      </c>
      <c r="I703" t="s">
        <v>22</v>
      </c>
      <c r="J703">
        <v>1301202000</v>
      </c>
      <c r="K703">
        <v>1301806800</v>
      </c>
      <c r="L703" t="b">
        <v>1</v>
      </c>
      <c r="M703" t="b">
        <v>0</v>
      </c>
      <c r="N703" t="s">
        <v>33</v>
      </c>
    </row>
    <row r="704" spans="1:14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t="s">
        <v>14</v>
      </c>
      <c r="G704">
        <v>83</v>
      </c>
      <c r="H704" t="s">
        <v>21</v>
      </c>
      <c r="I704" t="s">
        <v>22</v>
      </c>
      <c r="J704">
        <v>1374469200</v>
      </c>
      <c r="K704">
        <v>1374901200</v>
      </c>
      <c r="L704" t="b">
        <v>0</v>
      </c>
      <c r="M704" t="b">
        <v>0</v>
      </c>
      <c r="N704" t="s">
        <v>65</v>
      </c>
    </row>
    <row r="705" spans="1:14" ht="17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t="s">
        <v>20</v>
      </c>
      <c r="G705">
        <v>2038</v>
      </c>
      <c r="H705" t="s">
        <v>21</v>
      </c>
      <c r="I705" t="s">
        <v>22</v>
      </c>
      <c r="J705">
        <v>1334984400</v>
      </c>
      <c r="K705">
        <v>1336453200</v>
      </c>
      <c r="L705" t="b">
        <v>1</v>
      </c>
      <c r="M705" t="b">
        <v>1</v>
      </c>
      <c r="N705" t="s">
        <v>206</v>
      </c>
    </row>
    <row r="706" spans="1:14" ht="34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t="s">
        <v>20</v>
      </c>
      <c r="G706">
        <v>116</v>
      </c>
      <c r="H706" t="s">
        <v>21</v>
      </c>
      <c r="I706" t="s">
        <v>22</v>
      </c>
      <c r="J706">
        <v>1467608400</v>
      </c>
      <c r="K706">
        <v>1468904400</v>
      </c>
      <c r="L706" t="b">
        <v>0</v>
      </c>
      <c r="M706" t="b">
        <v>0</v>
      </c>
      <c r="N706" t="s">
        <v>71</v>
      </c>
    </row>
    <row r="707" spans="1:14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t="s">
        <v>14</v>
      </c>
      <c r="G707">
        <v>2025</v>
      </c>
      <c r="H707" t="s">
        <v>40</v>
      </c>
      <c r="I707" t="s">
        <v>41</v>
      </c>
      <c r="J707">
        <v>1386741600</v>
      </c>
      <c r="K707">
        <v>1387087200</v>
      </c>
      <c r="L707" t="b">
        <v>0</v>
      </c>
      <c r="M707" t="b">
        <v>0</v>
      </c>
      <c r="N707" t="s">
        <v>68</v>
      </c>
    </row>
    <row r="708" spans="1:14" ht="34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t="s">
        <v>20</v>
      </c>
      <c r="G708">
        <v>1345</v>
      </c>
      <c r="H708" t="s">
        <v>26</v>
      </c>
      <c r="I708" t="s">
        <v>27</v>
      </c>
      <c r="J708">
        <v>1546754400</v>
      </c>
      <c r="K708">
        <v>1547445600</v>
      </c>
      <c r="L708" t="b">
        <v>0</v>
      </c>
      <c r="M708" t="b">
        <v>1</v>
      </c>
      <c r="N708" t="s">
        <v>28</v>
      </c>
    </row>
    <row r="709" spans="1:14" ht="34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t="s">
        <v>20</v>
      </c>
      <c r="G709">
        <v>168</v>
      </c>
      <c r="H709" t="s">
        <v>21</v>
      </c>
      <c r="I709" t="s">
        <v>22</v>
      </c>
      <c r="J709">
        <v>1544248800</v>
      </c>
      <c r="K709">
        <v>1547359200</v>
      </c>
      <c r="L709" t="b">
        <v>0</v>
      </c>
      <c r="M709" t="b">
        <v>0</v>
      </c>
      <c r="N709" t="s">
        <v>53</v>
      </c>
    </row>
    <row r="710" spans="1:14" ht="17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t="s">
        <v>20</v>
      </c>
      <c r="G710">
        <v>137</v>
      </c>
      <c r="H710" t="s">
        <v>98</v>
      </c>
      <c r="I710" t="s">
        <v>99</v>
      </c>
      <c r="J710">
        <v>1495429200</v>
      </c>
      <c r="K710">
        <v>1496293200</v>
      </c>
      <c r="L710" t="b">
        <v>0</v>
      </c>
      <c r="M710" t="b">
        <v>0</v>
      </c>
      <c r="N710" t="s">
        <v>33</v>
      </c>
    </row>
    <row r="711" spans="1:14" ht="17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t="s">
        <v>20</v>
      </c>
      <c r="G711">
        <v>186</v>
      </c>
      <c r="H711" t="s">
        <v>107</v>
      </c>
      <c r="I711" t="s">
        <v>108</v>
      </c>
      <c r="J711">
        <v>1334811600</v>
      </c>
      <c r="K711">
        <v>1335416400</v>
      </c>
      <c r="L711" t="b">
        <v>0</v>
      </c>
      <c r="M711" t="b">
        <v>0</v>
      </c>
      <c r="N711" t="s">
        <v>33</v>
      </c>
    </row>
    <row r="712" spans="1:14" ht="34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t="s">
        <v>20</v>
      </c>
      <c r="G712">
        <v>125</v>
      </c>
      <c r="H712" t="s">
        <v>21</v>
      </c>
      <c r="I712" t="s">
        <v>22</v>
      </c>
      <c r="J712">
        <v>1531544400</v>
      </c>
      <c r="K712">
        <v>1532149200</v>
      </c>
      <c r="L712" t="b">
        <v>0</v>
      </c>
      <c r="M712" t="b">
        <v>1</v>
      </c>
      <c r="N712" t="s">
        <v>33</v>
      </c>
    </row>
    <row r="713" spans="1:14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t="s">
        <v>14</v>
      </c>
      <c r="G713">
        <v>14</v>
      </c>
      <c r="H713" t="s">
        <v>107</v>
      </c>
      <c r="I713" t="s">
        <v>108</v>
      </c>
      <c r="J713">
        <v>1453615200</v>
      </c>
      <c r="K713">
        <v>1453788000</v>
      </c>
      <c r="L713" t="b">
        <v>1</v>
      </c>
      <c r="M713" t="b">
        <v>1</v>
      </c>
      <c r="N713" t="s">
        <v>33</v>
      </c>
    </row>
    <row r="714" spans="1:14" ht="34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t="s">
        <v>20</v>
      </c>
      <c r="G714">
        <v>202</v>
      </c>
      <c r="H714" t="s">
        <v>21</v>
      </c>
      <c r="I714" t="s">
        <v>22</v>
      </c>
      <c r="J714">
        <v>1467954000</v>
      </c>
      <c r="K714">
        <v>1471496400</v>
      </c>
      <c r="L714" t="b">
        <v>0</v>
      </c>
      <c r="M714" t="b">
        <v>0</v>
      </c>
      <c r="N714" t="s">
        <v>33</v>
      </c>
    </row>
    <row r="715" spans="1:14" ht="17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t="s">
        <v>20</v>
      </c>
      <c r="G715">
        <v>103</v>
      </c>
      <c r="H715" t="s">
        <v>21</v>
      </c>
      <c r="I715" t="s">
        <v>22</v>
      </c>
      <c r="J715">
        <v>1471842000</v>
      </c>
      <c r="K715">
        <v>1472878800</v>
      </c>
      <c r="L715" t="b">
        <v>0</v>
      </c>
      <c r="M715" t="b">
        <v>0</v>
      </c>
      <c r="N715" t="s">
        <v>133</v>
      </c>
    </row>
    <row r="716" spans="1:14" ht="17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t="s">
        <v>20</v>
      </c>
      <c r="G716">
        <v>1785</v>
      </c>
      <c r="H716" t="s">
        <v>21</v>
      </c>
      <c r="I716" t="s">
        <v>22</v>
      </c>
      <c r="J716">
        <v>1408424400</v>
      </c>
      <c r="K716">
        <v>1408510800</v>
      </c>
      <c r="L716" t="b">
        <v>0</v>
      </c>
      <c r="M716" t="b">
        <v>0</v>
      </c>
      <c r="N716" t="s">
        <v>23</v>
      </c>
    </row>
    <row r="717" spans="1:14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t="s">
        <v>14</v>
      </c>
      <c r="G717">
        <v>656</v>
      </c>
      <c r="H717" t="s">
        <v>21</v>
      </c>
      <c r="I717" t="s">
        <v>22</v>
      </c>
      <c r="J717">
        <v>1281157200</v>
      </c>
      <c r="K717">
        <v>1281589200</v>
      </c>
      <c r="L717" t="b">
        <v>0</v>
      </c>
      <c r="M717" t="b">
        <v>0</v>
      </c>
      <c r="N717" t="s">
        <v>292</v>
      </c>
    </row>
    <row r="718" spans="1:14" ht="17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t="s">
        <v>20</v>
      </c>
      <c r="G718">
        <v>157</v>
      </c>
      <c r="H718" t="s">
        <v>21</v>
      </c>
      <c r="I718" t="s">
        <v>22</v>
      </c>
      <c r="J718">
        <v>1373432400</v>
      </c>
      <c r="K718">
        <v>1375851600</v>
      </c>
      <c r="L718" t="b">
        <v>0</v>
      </c>
      <c r="M718" t="b">
        <v>1</v>
      </c>
      <c r="N718" t="s">
        <v>33</v>
      </c>
    </row>
    <row r="719" spans="1:14" ht="34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t="s">
        <v>20</v>
      </c>
      <c r="G719">
        <v>555</v>
      </c>
      <c r="H719" t="s">
        <v>21</v>
      </c>
      <c r="I719" t="s">
        <v>22</v>
      </c>
      <c r="J719">
        <v>1313989200</v>
      </c>
      <c r="K719">
        <v>1315803600</v>
      </c>
      <c r="L719" t="b">
        <v>0</v>
      </c>
      <c r="M719" t="b">
        <v>0</v>
      </c>
      <c r="N719" t="s">
        <v>42</v>
      </c>
    </row>
    <row r="720" spans="1:14" ht="17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t="s">
        <v>20</v>
      </c>
      <c r="G720">
        <v>297</v>
      </c>
      <c r="H720" t="s">
        <v>21</v>
      </c>
      <c r="I720" t="s">
        <v>22</v>
      </c>
      <c r="J720">
        <v>1371445200</v>
      </c>
      <c r="K720">
        <v>1373691600</v>
      </c>
      <c r="L720" t="b">
        <v>0</v>
      </c>
      <c r="M720" t="b">
        <v>0</v>
      </c>
      <c r="N720" t="s">
        <v>65</v>
      </c>
    </row>
    <row r="721" spans="1:14" ht="17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t="s">
        <v>20</v>
      </c>
      <c r="G721">
        <v>123</v>
      </c>
      <c r="H721" t="s">
        <v>21</v>
      </c>
      <c r="I721" t="s">
        <v>22</v>
      </c>
      <c r="J721">
        <v>1338267600</v>
      </c>
      <c r="K721">
        <v>1339218000</v>
      </c>
      <c r="L721" t="b">
        <v>0</v>
      </c>
      <c r="M721" t="b">
        <v>0</v>
      </c>
      <c r="N721" t="s">
        <v>119</v>
      </c>
    </row>
    <row r="722" spans="1:14" ht="34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t="s">
        <v>74</v>
      </c>
      <c r="G722">
        <v>38</v>
      </c>
      <c r="H722" t="s">
        <v>36</v>
      </c>
      <c r="I722" t="s">
        <v>37</v>
      </c>
      <c r="J722">
        <v>1519192800</v>
      </c>
      <c r="K722">
        <v>1520402400</v>
      </c>
      <c r="L722" t="b">
        <v>0</v>
      </c>
      <c r="M722" t="b">
        <v>1</v>
      </c>
      <c r="N722" t="s">
        <v>33</v>
      </c>
    </row>
    <row r="723" spans="1:14" ht="17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t="s">
        <v>74</v>
      </c>
      <c r="G723">
        <v>60</v>
      </c>
      <c r="H723" t="s">
        <v>21</v>
      </c>
      <c r="I723" t="s">
        <v>22</v>
      </c>
      <c r="J723">
        <v>1522818000</v>
      </c>
      <c r="K723">
        <v>1523336400</v>
      </c>
      <c r="L723" t="b">
        <v>0</v>
      </c>
      <c r="M723" t="b">
        <v>0</v>
      </c>
      <c r="N723" t="s">
        <v>23</v>
      </c>
    </row>
    <row r="724" spans="1:14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t="s">
        <v>20</v>
      </c>
      <c r="G724">
        <v>3036</v>
      </c>
      <c r="H724" t="s">
        <v>21</v>
      </c>
      <c r="I724" t="s">
        <v>22</v>
      </c>
      <c r="J724">
        <v>1509948000</v>
      </c>
      <c r="K724">
        <v>1512280800</v>
      </c>
      <c r="L724" t="b">
        <v>0</v>
      </c>
      <c r="M724" t="b">
        <v>0</v>
      </c>
      <c r="N724" t="s">
        <v>42</v>
      </c>
    </row>
    <row r="725" spans="1:14" ht="17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t="s">
        <v>20</v>
      </c>
      <c r="G725">
        <v>144</v>
      </c>
      <c r="H725" t="s">
        <v>26</v>
      </c>
      <c r="I725" t="s">
        <v>27</v>
      </c>
      <c r="J725">
        <v>1456898400</v>
      </c>
      <c r="K725">
        <v>1458709200</v>
      </c>
      <c r="L725" t="b">
        <v>0</v>
      </c>
      <c r="M725" t="b">
        <v>0</v>
      </c>
      <c r="N725" t="s">
        <v>33</v>
      </c>
    </row>
    <row r="726" spans="1:14" ht="34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t="s">
        <v>20</v>
      </c>
      <c r="G726">
        <v>121</v>
      </c>
      <c r="H726" t="s">
        <v>40</v>
      </c>
      <c r="I726" t="s">
        <v>41</v>
      </c>
      <c r="J726">
        <v>1413954000</v>
      </c>
      <c r="K726">
        <v>1414126800</v>
      </c>
      <c r="L726" t="b">
        <v>0</v>
      </c>
      <c r="M726" t="b">
        <v>1</v>
      </c>
      <c r="N726" t="s">
        <v>33</v>
      </c>
    </row>
    <row r="727" spans="1:14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t="s">
        <v>14</v>
      </c>
      <c r="G727">
        <v>1596</v>
      </c>
      <c r="H727" t="s">
        <v>21</v>
      </c>
      <c r="I727" t="s">
        <v>22</v>
      </c>
      <c r="J727">
        <v>1416031200</v>
      </c>
      <c r="K727">
        <v>1416204000</v>
      </c>
      <c r="L727" t="b">
        <v>0</v>
      </c>
      <c r="M727" t="b">
        <v>0</v>
      </c>
      <c r="N727" t="s">
        <v>292</v>
      </c>
    </row>
    <row r="728" spans="1:14" ht="17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t="s">
        <v>74</v>
      </c>
      <c r="G728">
        <v>524</v>
      </c>
      <c r="H728" t="s">
        <v>21</v>
      </c>
      <c r="I728" t="s">
        <v>22</v>
      </c>
      <c r="J728">
        <v>1287982800</v>
      </c>
      <c r="K728">
        <v>1288501200</v>
      </c>
      <c r="L728" t="b">
        <v>0</v>
      </c>
      <c r="M728" t="b">
        <v>1</v>
      </c>
      <c r="N728" t="s">
        <v>33</v>
      </c>
    </row>
    <row r="729" spans="1:14" ht="17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t="s">
        <v>20</v>
      </c>
      <c r="G729">
        <v>181</v>
      </c>
      <c r="H729" t="s">
        <v>21</v>
      </c>
      <c r="I729" t="s">
        <v>22</v>
      </c>
      <c r="J729">
        <v>1547964000</v>
      </c>
      <c r="K729">
        <v>1552971600</v>
      </c>
      <c r="L729" t="b">
        <v>0</v>
      </c>
      <c r="M729" t="b">
        <v>0</v>
      </c>
      <c r="N729" t="s">
        <v>28</v>
      </c>
    </row>
    <row r="730" spans="1:14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t="s">
        <v>14</v>
      </c>
      <c r="G730">
        <v>10</v>
      </c>
      <c r="H730" t="s">
        <v>21</v>
      </c>
      <c r="I730" t="s">
        <v>22</v>
      </c>
      <c r="J730">
        <v>1464152400</v>
      </c>
      <c r="K730">
        <v>1465102800</v>
      </c>
      <c r="L730" t="b">
        <v>0</v>
      </c>
      <c r="M730" t="b">
        <v>0</v>
      </c>
      <c r="N730" t="s">
        <v>33</v>
      </c>
    </row>
    <row r="731" spans="1:14" ht="34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t="s">
        <v>20</v>
      </c>
      <c r="G731">
        <v>122</v>
      </c>
      <c r="H731" t="s">
        <v>21</v>
      </c>
      <c r="I731" t="s">
        <v>22</v>
      </c>
      <c r="J731">
        <v>1359957600</v>
      </c>
      <c r="K731">
        <v>1360130400</v>
      </c>
      <c r="L731" t="b">
        <v>0</v>
      </c>
      <c r="M731" t="b">
        <v>0</v>
      </c>
      <c r="N731" t="s">
        <v>53</v>
      </c>
    </row>
    <row r="732" spans="1:14" ht="17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t="s">
        <v>20</v>
      </c>
      <c r="G732">
        <v>1071</v>
      </c>
      <c r="H732" t="s">
        <v>15</v>
      </c>
      <c r="I732" t="s">
        <v>16</v>
      </c>
      <c r="J732">
        <v>1432357200</v>
      </c>
      <c r="K732">
        <v>1432875600</v>
      </c>
      <c r="L732" t="b">
        <v>0</v>
      </c>
      <c r="M732" t="b">
        <v>0</v>
      </c>
      <c r="N732" t="s">
        <v>65</v>
      </c>
    </row>
    <row r="733" spans="1:14" ht="17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t="s">
        <v>74</v>
      </c>
      <c r="G733">
        <v>219</v>
      </c>
      <c r="H733" t="s">
        <v>21</v>
      </c>
      <c r="I733" t="s">
        <v>22</v>
      </c>
      <c r="J733">
        <v>1500786000</v>
      </c>
      <c r="K733">
        <v>1500872400</v>
      </c>
      <c r="L733" t="b">
        <v>0</v>
      </c>
      <c r="M733" t="b">
        <v>0</v>
      </c>
      <c r="N733" t="s">
        <v>28</v>
      </c>
    </row>
    <row r="734" spans="1:14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t="s">
        <v>14</v>
      </c>
      <c r="G734">
        <v>1121</v>
      </c>
      <c r="H734" t="s">
        <v>21</v>
      </c>
      <c r="I734" t="s">
        <v>22</v>
      </c>
      <c r="J734">
        <v>1490158800</v>
      </c>
      <c r="K734">
        <v>1492146000</v>
      </c>
      <c r="L734" t="b">
        <v>0</v>
      </c>
      <c r="M734" t="b">
        <v>1</v>
      </c>
      <c r="N734" t="s">
        <v>23</v>
      </c>
    </row>
    <row r="735" spans="1:14" ht="17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t="s">
        <v>20</v>
      </c>
      <c r="G735">
        <v>980</v>
      </c>
      <c r="H735" t="s">
        <v>21</v>
      </c>
      <c r="I735" t="s">
        <v>22</v>
      </c>
      <c r="J735">
        <v>1406178000</v>
      </c>
      <c r="K735">
        <v>1407301200</v>
      </c>
      <c r="L735" t="b">
        <v>0</v>
      </c>
      <c r="M735" t="b">
        <v>0</v>
      </c>
      <c r="N735" t="s">
        <v>148</v>
      </c>
    </row>
    <row r="736" spans="1:14" ht="17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t="s">
        <v>20</v>
      </c>
      <c r="G736">
        <v>536</v>
      </c>
      <c r="H736" t="s">
        <v>21</v>
      </c>
      <c r="I736" t="s">
        <v>22</v>
      </c>
      <c r="J736">
        <v>1485583200</v>
      </c>
      <c r="K736">
        <v>1486620000</v>
      </c>
      <c r="L736" t="b">
        <v>0</v>
      </c>
      <c r="M736" t="b">
        <v>1</v>
      </c>
      <c r="N736" t="s">
        <v>33</v>
      </c>
    </row>
    <row r="737" spans="1:14" ht="34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t="s">
        <v>20</v>
      </c>
      <c r="G737">
        <v>1991</v>
      </c>
      <c r="H737" t="s">
        <v>21</v>
      </c>
      <c r="I737" t="s">
        <v>22</v>
      </c>
      <c r="J737">
        <v>1459314000</v>
      </c>
      <c r="K737">
        <v>1459918800</v>
      </c>
      <c r="L737" t="b">
        <v>0</v>
      </c>
      <c r="M737" t="b">
        <v>0</v>
      </c>
      <c r="N737" t="s">
        <v>122</v>
      </c>
    </row>
    <row r="738" spans="1:14" ht="17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t="s">
        <v>74</v>
      </c>
      <c r="G738">
        <v>29</v>
      </c>
      <c r="H738" t="s">
        <v>21</v>
      </c>
      <c r="I738" t="s">
        <v>22</v>
      </c>
      <c r="J738">
        <v>1424412000</v>
      </c>
      <c r="K738">
        <v>1424757600</v>
      </c>
      <c r="L738" t="b">
        <v>0</v>
      </c>
      <c r="M738" t="b">
        <v>0</v>
      </c>
      <c r="N738" t="s">
        <v>68</v>
      </c>
    </row>
    <row r="739" spans="1:14" ht="34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t="s">
        <v>20</v>
      </c>
      <c r="G739">
        <v>180</v>
      </c>
      <c r="H739" t="s">
        <v>21</v>
      </c>
      <c r="I739" t="s">
        <v>22</v>
      </c>
      <c r="J739">
        <v>1478844000</v>
      </c>
      <c r="K739">
        <v>1479880800</v>
      </c>
      <c r="L739" t="b">
        <v>0</v>
      </c>
      <c r="M739" t="b">
        <v>0</v>
      </c>
      <c r="N739" t="s">
        <v>60</v>
      </c>
    </row>
    <row r="740" spans="1:14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t="s">
        <v>14</v>
      </c>
      <c r="G740">
        <v>15</v>
      </c>
      <c r="H740" t="s">
        <v>21</v>
      </c>
      <c r="I740" t="s">
        <v>22</v>
      </c>
      <c r="J740">
        <v>1416117600</v>
      </c>
      <c r="K740">
        <v>1418018400</v>
      </c>
      <c r="L740" t="b">
        <v>0</v>
      </c>
      <c r="M740" t="b">
        <v>1</v>
      </c>
      <c r="N740" t="s">
        <v>33</v>
      </c>
    </row>
    <row r="741" spans="1:14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t="s">
        <v>14</v>
      </c>
      <c r="G741">
        <v>191</v>
      </c>
      <c r="H741" t="s">
        <v>21</v>
      </c>
      <c r="I741" t="s">
        <v>22</v>
      </c>
      <c r="J741">
        <v>1340946000</v>
      </c>
      <c r="K741">
        <v>1341032400</v>
      </c>
      <c r="L741" t="b">
        <v>0</v>
      </c>
      <c r="M741" t="b">
        <v>0</v>
      </c>
      <c r="N741" t="s">
        <v>60</v>
      </c>
    </row>
    <row r="742" spans="1:14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t="s">
        <v>14</v>
      </c>
      <c r="G742">
        <v>16</v>
      </c>
      <c r="H742" t="s">
        <v>21</v>
      </c>
      <c r="I742" t="s">
        <v>22</v>
      </c>
      <c r="J742">
        <v>1486101600</v>
      </c>
      <c r="K742">
        <v>1486360800</v>
      </c>
      <c r="L742" t="b">
        <v>0</v>
      </c>
      <c r="M742" t="b">
        <v>0</v>
      </c>
      <c r="N742" t="s">
        <v>33</v>
      </c>
    </row>
    <row r="743" spans="1:14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t="s">
        <v>20</v>
      </c>
      <c r="G743">
        <v>130</v>
      </c>
      <c r="H743" t="s">
        <v>21</v>
      </c>
      <c r="I743" t="s">
        <v>22</v>
      </c>
      <c r="J743">
        <v>1274590800</v>
      </c>
      <c r="K743">
        <v>1274677200</v>
      </c>
      <c r="L743" t="b">
        <v>0</v>
      </c>
      <c r="M743" t="b">
        <v>0</v>
      </c>
      <c r="N743" t="s">
        <v>33</v>
      </c>
    </row>
    <row r="744" spans="1:14" ht="17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t="s">
        <v>20</v>
      </c>
      <c r="G744">
        <v>122</v>
      </c>
      <c r="H744" t="s">
        <v>21</v>
      </c>
      <c r="I744" t="s">
        <v>22</v>
      </c>
      <c r="J744">
        <v>1263880800</v>
      </c>
      <c r="K744">
        <v>1267509600</v>
      </c>
      <c r="L744" t="b">
        <v>0</v>
      </c>
      <c r="M744" t="b">
        <v>0</v>
      </c>
      <c r="N744" t="s">
        <v>50</v>
      </c>
    </row>
    <row r="745" spans="1:14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t="s">
        <v>14</v>
      </c>
      <c r="G745">
        <v>17</v>
      </c>
      <c r="H745" t="s">
        <v>21</v>
      </c>
      <c r="I745" t="s">
        <v>22</v>
      </c>
      <c r="J745">
        <v>1445403600</v>
      </c>
      <c r="K745">
        <v>1445922000</v>
      </c>
      <c r="L745" t="b">
        <v>0</v>
      </c>
      <c r="M745" t="b">
        <v>1</v>
      </c>
      <c r="N745" t="s">
        <v>33</v>
      </c>
    </row>
    <row r="746" spans="1:14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t="s">
        <v>20</v>
      </c>
      <c r="G746">
        <v>140</v>
      </c>
      <c r="H746" t="s">
        <v>21</v>
      </c>
      <c r="I746" t="s">
        <v>22</v>
      </c>
      <c r="J746">
        <v>1533877200</v>
      </c>
      <c r="K746">
        <v>1534050000</v>
      </c>
      <c r="L746" t="b">
        <v>0</v>
      </c>
      <c r="M746" t="b">
        <v>1</v>
      </c>
      <c r="N746" t="s">
        <v>33</v>
      </c>
    </row>
    <row r="747" spans="1:14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t="s">
        <v>14</v>
      </c>
      <c r="G747">
        <v>34</v>
      </c>
      <c r="H747" t="s">
        <v>21</v>
      </c>
      <c r="I747" t="s">
        <v>22</v>
      </c>
      <c r="J747">
        <v>1275195600</v>
      </c>
      <c r="K747">
        <v>1277528400</v>
      </c>
      <c r="L747" t="b">
        <v>0</v>
      </c>
      <c r="M747" t="b">
        <v>0</v>
      </c>
      <c r="N747" t="s">
        <v>65</v>
      </c>
    </row>
    <row r="748" spans="1:14" ht="17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t="s">
        <v>20</v>
      </c>
      <c r="G748">
        <v>3388</v>
      </c>
      <c r="H748" t="s">
        <v>21</v>
      </c>
      <c r="I748" t="s">
        <v>22</v>
      </c>
      <c r="J748">
        <v>1318136400</v>
      </c>
      <c r="K748">
        <v>1318568400</v>
      </c>
      <c r="L748" t="b">
        <v>0</v>
      </c>
      <c r="M748" t="b">
        <v>0</v>
      </c>
      <c r="N748" t="s">
        <v>28</v>
      </c>
    </row>
    <row r="749" spans="1:14" ht="17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t="s">
        <v>20</v>
      </c>
      <c r="G749">
        <v>280</v>
      </c>
      <c r="H749" t="s">
        <v>21</v>
      </c>
      <c r="I749" t="s">
        <v>22</v>
      </c>
      <c r="J749">
        <v>1283403600</v>
      </c>
      <c r="K749">
        <v>1284354000</v>
      </c>
      <c r="L749" t="b">
        <v>0</v>
      </c>
      <c r="M749" t="b">
        <v>0</v>
      </c>
      <c r="N749" t="s">
        <v>33</v>
      </c>
    </row>
    <row r="750" spans="1:14" ht="17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t="s">
        <v>74</v>
      </c>
      <c r="G750">
        <v>614</v>
      </c>
      <c r="H750" t="s">
        <v>21</v>
      </c>
      <c r="I750" t="s">
        <v>22</v>
      </c>
      <c r="J750">
        <v>1267423200</v>
      </c>
      <c r="K750">
        <v>1269579600</v>
      </c>
      <c r="L750" t="b">
        <v>0</v>
      </c>
      <c r="M750" t="b">
        <v>1</v>
      </c>
      <c r="N750" t="s">
        <v>71</v>
      </c>
    </row>
    <row r="751" spans="1:14" ht="17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t="s">
        <v>20</v>
      </c>
      <c r="G751">
        <v>366</v>
      </c>
      <c r="H751" t="s">
        <v>107</v>
      </c>
      <c r="I751" t="s">
        <v>108</v>
      </c>
      <c r="J751">
        <v>1412744400</v>
      </c>
      <c r="K751">
        <v>1413781200</v>
      </c>
      <c r="L751" t="b">
        <v>0</v>
      </c>
      <c r="M751" t="b">
        <v>1</v>
      </c>
      <c r="N751" t="s">
        <v>65</v>
      </c>
    </row>
    <row r="752" spans="1:14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t="s">
        <v>14</v>
      </c>
      <c r="G752">
        <v>1</v>
      </c>
      <c r="H752" t="s">
        <v>40</v>
      </c>
      <c r="I752" t="s">
        <v>41</v>
      </c>
      <c r="J752">
        <v>1277960400</v>
      </c>
      <c r="K752">
        <v>1280120400</v>
      </c>
      <c r="L752" t="b">
        <v>0</v>
      </c>
      <c r="M752" t="b">
        <v>0</v>
      </c>
      <c r="N752" t="s">
        <v>50</v>
      </c>
    </row>
    <row r="753" spans="1:14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t="s">
        <v>20</v>
      </c>
      <c r="G753">
        <v>270</v>
      </c>
      <c r="H753" t="s">
        <v>21</v>
      </c>
      <c r="I753" t="s">
        <v>22</v>
      </c>
      <c r="J753">
        <v>1458190800</v>
      </c>
      <c r="K753">
        <v>1459486800</v>
      </c>
      <c r="L753" t="b">
        <v>1</v>
      </c>
      <c r="M753" t="b">
        <v>1</v>
      </c>
      <c r="N753" t="s">
        <v>68</v>
      </c>
    </row>
    <row r="754" spans="1:14" ht="17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t="s">
        <v>74</v>
      </c>
      <c r="G754">
        <v>114</v>
      </c>
      <c r="H754" t="s">
        <v>21</v>
      </c>
      <c r="I754" t="s">
        <v>22</v>
      </c>
      <c r="J754">
        <v>1280984400</v>
      </c>
      <c r="K754">
        <v>1282539600</v>
      </c>
      <c r="L754" t="b">
        <v>0</v>
      </c>
      <c r="M754" t="b">
        <v>1</v>
      </c>
      <c r="N754" t="s">
        <v>33</v>
      </c>
    </row>
    <row r="755" spans="1:14" ht="17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t="s">
        <v>20</v>
      </c>
      <c r="G755">
        <v>137</v>
      </c>
      <c r="H755" t="s">
        <v>21</v>
      </c>
      <c r="I755" t="s">
        <v>22</v>
      </c>
      <c r="J755">
        <v>1274590800</v>
      </c>
      <c r="K755">
        <v>1275886800</v>
      </c>
      <c r="L755" t="b">
        <v>0</v>
      </c>
      <c r="M755" t="b">
        <v>0</v>
      </c>
      <c r="N755" t="s">
        <v>122</v>
      </c>
    </row>
    <row r="756" spans="1:14" ht="17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t="s">
        <v>20</v>
      </c>
      <c r="G756">
        <v>3205</v>
      </c>
      <c r="H756" t="s">
        <v>21</v>
      </c>
      <c r="I756" t="s">
        <v>22</v>
      </c>
      <c r="J756">
        <v>1351400400</v>
      </c>
      <c r="K756">
        <v>1355983200</v>
      </c>
      <c r="L756" t="b">
        <v>0</v>
      </c>
      <c r="M756" t="b">
        <v>0</v>
      </c>
      <c r="N756" t="s">
        <v>33</v>
      </c>
    </row>
    <row r="757" spans="1:14" ht="17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t="s">
        <v>20</v>
      </c>
      <c r="G757">
        <v>288</v>
      </c>
      <c r="H757" t="s">
        <v>36</v>
      </c>
      <c r="I757" t="s">
        <v>37</v>
      </c>
      <c r="J757">
        <v>1514354400</v>
      </c>
      <c r="K757">
        <v>1515391200</v>
      </c>
      <c r="L757" t="b">
        <v>0</v>
      </c>
      <c r="M757" t="b">
        <v>1</v>
      </c>
      <c r="N757" t="s">
        <v>33</v>
      </c>
    </row>
    <row r="758" spans="1:14" ht="34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t="s">
        <v>20</v>
      </c>
      <c r="G758">
        <v>148</v>
      </c>
      <c r="H758" t="s">
        <v>21</v>
      </c>
      <c r="I758" t="s">
        <v>22</v>
      </c>
      <c r="J758">
        <v>1421733600</v>
      </c>
      <c r="K758">
        <v>1422252000</v>
      </c>
      <c r="L758" t="b">
        <v>0</v>
      </c>
      <c r="M758" t="b">
        <v>0</v>
      </c>
      <c r="N758" t="s">
        <v>33</v>
      </c>
    </row>
    <row r="759" spans="1:14" ht="17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t="s">
        <v>20</v>
      </c>
      <c r="G759">
        <v>114</v>
      </c>
      <c r="H759" t="s">
        <v>21</v>
      </c>
      <c r="I759" t="s">
        <v>22</v>
      </c>
      <c r="J759">
        <v>1305176400</v>
      </c>
      <c r="K759">
        <v>1305522000</v>
      </c>
      <c r="L759" t="b">
        <v>0</v>
      </c>
      <c r="M759" t="b">
        <v>0</v>
      </c>
      <c r="N759" t="s">
        <v>53</v>
      </c>
    </row>
    <row r="760" spans="1:14" ht="17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t="s">
        <v>20</v>
      </c>
      <c r="G760">
        <v>1518</v>
      </c>
      <c r="H760" t="s">
        <v>15</v>
      </c>
      <c r="I760" t="s">
        <v>16</v>
      </c>
      <c r="J760">
        <v>1414126800</v>
      </c>
      <c r="K760">
        <v>1414904400</v>
      </c>
      <c r="L760" t="b">
        <v>0</v>
      </c>
      <c r="M760" t="b">
        <v>0</v>
      </c>
      <c r="N760" t="s">
        <v>23</v>
      </c>
    </row>
    <row r="761" spans="1:14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t="s">
        <v>14</v>
      </c>
      <c r="G761">
        <v>1274</v>
      </c>
      <c r="H761" t="s">
        <v>21</v>
      </c>
      <c r="I761" t="s">
        <v>22</v>
      </c>
      <c r="J761">
        <v>1517810400</v>
      </c>
      <c r="K761">
        <v>1520402400</v>
      </c>
      <c r="L761" t="b">
        <v>0</v>
      </c>
      <c r="M761" t="b">
        <v>0</v>
      </c>
      <c r="N761" t="s">
        <v>50</v>
      </c>
    </row>
    <row r="762" spans="1:14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t="s">
        <v>14</v>
      </c>
      <c r="G762">
        <v>210</v>
      </c>
      <c r="H762" t="s">
        <v>107</v>
      </c>
      <c r="I762" t="s">
        <v>108</v>
      </c>
      <c r="J762">
        <v>1564635600</v>
      </c>
      <c r="K762">
        <v>1567141200</v>
      </c>
      <c r="L762" t="b">
        <v>0</v>
      </c>
      <c r="M762" t="b">
        <v>1</v>
      </c>
      <c r="N762" t="s">
        <v>89</v>
      </c>
    </row>
    <row r="763" spans="1:14" ht="17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t="s">
        <v>20</v>
      </c>
      <c r="G763">
        <v>166</v>
      </c>
      <c r="H763" t="s">
        <v>21</v>
      </c>
      <c r="I763" t="s">
        <v>22</v>
      </c>
      <c r="J763">
        <v>1500699600</v>
      </c>
      <c r="K763">
        <v>1501131600</v>
      </c>
      <c r="L763" t="b">
        <v>0</v>
      </c>
      <c r="M763" t="b">
        <v>0</v>
      </c>
      <c r="N763" t="s">
        <v>23</v>
      </c>
    </row>
    <row r="764" spans="1:14" ht="17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t="s">
        <v>20</v>
      </c>
      <c r="G764">
        <v>100</v>
      </c>
      <c r="H764" t="s">
        <v>26</v>
      </c>
      <c r="I764" t="s">
        <v>27</v>
      </c>
      <c r="J764">
        <v>1354082400</v>
      </c>
      <c r="K764">
        <v>1355032800</v>
      </c>
      <c r="L764" t="b">
        <v>0</v>
      </c>
      <c r="M764" t="b">
        <v>0</v>
      </c>
      <c r="N764" t="s">
        <v>159</v>
      </c>
    </row>
    <row r="765" spans="1:14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t="s">
        <v>20</v>
      </c>
      <c r="G765">
        <v>235</v>
      </c>
      <c r="H765" t="s">
        <v>21</v>
      </c>
      <c r="I765" t="s">
        <v>22</v>
      </c>
      <c r="J765">
        <v>1336453200</v>
      </c>
      <c r="K765">
        <v>1339477200</v>
      </c>
      <c r="L765" t="b">
        <v>0</v>
      </c>
      <c r="M765" t="b">
        <v>1</v>
      </c>
      <c r="N765" t="s">
        <v>33</v>
      </c>
    </row>
    <row r="766" spans="1:14" ht="34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t="s">
        <v>20</v>
      </c>
      <c r="G766">
        <v>148</v>
      </c>
      <c r="H766" t="s">
        <v>21</v>
      </c>
      <c r="I766" t="s">
        <v>22</v>
      </c>
      <c r="J766">
        <v>1305262800</v>
      </c>
      <c r="K766">
        <v>1305954000</v>
      </c>
      <c r="L766" t="b">
        <v>0</v>
      </c>
      <c r="M766" t="b">
        <v>0</v>
      </c>
      <c r="N766" t="s">
        <v>23</v>
      </c>
    </row>
    <row r="767" spans="1:14" ht="17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t="s">
        <v>20</v>
      </c>
      <c r="G767">
        <v>198</v>
      </c>
      <c r="H767" t="s">
        <v>21</v>
      </c>
      <c r="I767" t="s">
        <v>22</v>
      </c>
      <c r="J767">
        <v>1492232400</v>
      </c>
      <c r="K767">
        <v>1494392400</v>
      </c>
      <c r="L767" t="b">
        <v>1</v>
      </c>
      <c r="M767" t="b">
        <v>1</v>
      </c>
      <c r="N767" t="s">
        <v>60</v>
      </c>
    </row>
    <row r="768" spans="1:14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t="s">
        <v>14</v>
      </c>
      <c r="G768">
        <v>248</v>
      </c>
      <c r="H768" t="s">
        <v>26</v>
      </c>
      <c r="I768" t="s">
        <v>27</v>
      </c>
      <c r="J768">
        <v>1537333200</v>
      </c>
      <c r="K768">
        <v>1537419600</v>
      </c>
      <c r="L768" t="b">
        <v>0</v>
      </c>
      <c r="M768" t="b">
        <v>0</v>
      </c>
      <c r="N768" t="s">
        <v>474</v>
      </c>
    </row>
    <row r="769" spans="1:14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t="s">
        <v>14</v>
      </c>
      <c r="G769">
        <v>513</v>
      </c>
      <c r="H769" t="s">
        <v>21</v>
      </c>
      <c r="I769" t="s">
        <v>22</v>
      </c>
      <c r="J769">
        <v>1444107600</v>
      </c>
      <c r="K769">
        <v>1447999200</v>
      </c>
      <c r="L769" t="b">
        <v>0</v>
      </c>
      <c r="M769" t="b">
        <v>0</v>
      </c>
      <c r="N769" t="s">
        <v>206</v>
      </c>
    </row>
    <row r="770" spans="1:14" ht="17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t="s">
        <v>20</v>
      </c>
      <c r="G770">
        <v>150</v>
      </c>
      <c r="H770" t="s">
        <v>21</v>
      </c>
      <c r="I770" t="s">
        <v>22</v>
      </c>
      <c r="J770">
        <v>1386741600</v>
      </c>
      <c r="K770">
        <v>1388037600</v>
      </c>
      <c r="L770" t="b">
        <v>0</v>
      </c>
      <c r="M770" t="b">
        <v>0</v>
      </c>
      <c r="N770" t="s">
        <v>33</v>
      </c>
    </row>
    <row r="771" spans="1:14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t="s">
        <v>14</v>
      </c>
      <c r="G771">
        <v>3410</v>
      </c>
      <c r="H771" t="s">
        <v>21</v>
      </c>
      <c r="I771" t="s">
        <v>22</v>
      </c>
      <c r="J771">
        <v>1376542800</v>
      </c>
      <c r="K771">
        <v>1378789200</v>
      </c>
      <c r="L771" t="b">
        <v>0</v>
      </c>
      <c r="M771" t="b">
        <v>0</v>
      </c>
      <c r="N771" t="s">
        <v>89</v>
      </c>
    </row>
    <row r="772" spans="1:14" ht="17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t="s">
        <v>20</v>
      </c>
      <c r="G772">
        <v>216</v>
      </c>
      <c r="H772" t="s">
        <v>107</v>
      </c>
      <c r="I772" t="s">
        <v>108</v>
      </c>
      <c r="J772">
        <v>1397451600</v>
      </c>
      <c r="K772">
        <v>1398056400</v>
      </c>
      <c r="L772" t="b">
        <v>0</v>
      </c>
      <c r="M772" t="b">
        <v>1</v>
      </c>
      <c r="N772" t="s">
        <v>33</v>
      </c>
    </row>
    <row r="773" spans="1:14" ht="17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t="s">
        <v>74</v>
      </c>
      <c r="G773">
        <v>26</v>
      </c>
      <c r="H773" t="s">
        <v>21</v>
      </c>
      <c r="I773" t="s">
        <v>22</v>
      </c>
      <c r="J773">
        <v>1548482400</v>
      </c>
      <c r="K773">
        <v>1550815200</v>
      </c>
      <c r="L773" t="b">
        <v>0</v>
      </c>
      <c r="M773" t="b">
        <v>0</v>
      </c>
      <c r="N773" t="s">
        <v>33</v>
      </c>
    </row>
    <row r="774" spans="1:14" ht="17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t="s">
        <v>20</v>
      </c>
      <c r="G774">
        <v>5139</v>
      </c>
      <c r="H774" t="s">
        <v>21</v>
      </c>
      <c r="I774" t="s">
        <v>22</v>
      </c>
      <c r="J774">
        <v>1549692000</v>
      </c>
      <c r="K774">
        <v>1550037600</v>
      </c>
      <c r="L774" t="b">
        <v>0</v>
      </c>
      <c r="M774" t="b">
        <v>0</v>
      </c>
      <c r="N774" t="s">
        <v>60</v>
      </c>
    </row>
    <row r="775" spans="1:14" ht="17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t="s">
        <v>20</v>
      </c>
      <c r="G775">
        <v>2353</v>
      </c>
      <c r="H775" t="s">
        <v>21</v>
      </c>
      <c r="I775" t="s">
        <v>22</v>
      </c>
      <c r="J775">
        <v>1492059600</v>
      </c>
      <c r="K775">
        <v>1492923600</v>
      </c>
      <c r="L775" t="b">
        <v>0</v>
      </c>
      <c r="M775" t="b">
        <v>0</v>
      </c>
      <c r="N775" t="s">
        <v>33</v>
      </c>
    </row>
    <row r="776" spans="1:14" ht="17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t="s">
        <v>20</v>
      </c>
      <c r="G776">
        <v>78</v>
      </c>
      <c r="H776" t="s">
        <v>107</v>
      </c>
      <c r="I776" t="s">
        <v>108</v>
      </c>
      <c r="J776">
        <v>1463979600</v>
      </c>
      <c r="K776">
        <v>1467522000</v>
      </c>
      <c r="L776" t="b">
        <v>0</v>
      </c>
      <c r="M776" t="b">
        <v>0</v>
      </c>
      <c r="N776" t="s">
        <v>28</v>
      </c>
    </row>
    <row r="777" spans="1:14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t="s">
        <v>14</v>
      </c>
      <c r="G777">
        <v>10</v>
      </c>
      <c r="H777" t="s">
        <v>21</v>
      </c>
      <c r="I777" t="s">
        <v>22</v>
      </c>
      <c r="J777">
        <v>1415253600</v>
      </c>
      <c r="K777">
        <v>1416117600</v>
      </c>
      <c r="L777" t="b">
        <v>0</v>
      </c>
      <c r="M777" t="b">
        <v>0</v>
      </c>
      <c r="N777" t="s">
        <v>23</v>
      </c>
    </row>
    <row r="778" spans="1:14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t="s">
        <v>14</v>
      </c>
      <c r="G778">
        <v>2201</v>
      </c>
      <c r="H778" t="s">
        <v>21</v>
      </c>
      <c r="I778" t="s">
        <v>22</v>
      </c>
      <c r="J778">
        <v>1562216400</v>
      </c>
      <c r="K778">
        <v>1563771600</v>
      </c>
      <c r="L778" t="b">
        <v>0</v>
      </c>
      <c r="M778" t="b">
        <v>0</v>
      </c>
      <c r="N778" t="s">
        <v>33</v>
      </c>
    </row>
    <row r="779" spans="1:14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t="s">
        <v>14</v>
      </c>
      <c r="G779">
        <v>676</v>
      </c>
      <c r="H779" t="s">
        <v>21</v>
      </c>
      <c r="I779" t="s">
        <v>22</v>
      </c>
      <c r="J779">
        <v>1316754000</v>
      </c>
      <c r="K779">
        <v>1319259600</v>
      </c>
      <c r="L779" t="b">
        <v>0</v>
      </c>
      <c r="M779" t="b">
        <v>0</v>
      </c>
      <c r="N779" t="s">
        <v>33</v>
      </c>
    </row>
    <row r="780" spans="1:14" ht="17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t="s">
        <v>20</v>
      </c>
      <c r="G780">
        <v>174</v>
      </c>
      <c r="H780" t="s">
        <v>98</v>
      </c>
      <c r="I780" t="s">
        <v>99</v>
      </c>
      <c r="J780">
        <v>1313211600</v>
      </c>
      <c r="K780">
        <v>1313643600</v>
      </c>
      <c r="L780" t="b">
        <v>0</v>
      </c>
      <c r="M780" t="b">
        <v>0</v>
      </c>
      <c r="N780" t="s">
        <v>71</v>
      </c>
    </row>
    <row r="781" spans="1:14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t="s">
        <v>14</v>
      </c>
      <c r="G781">
        <v>831</v>
      </c>
      <c r="H781" t="s">
        <v>21</v>
      </c>
      <c r="I781" t="s">
        <v>22</v>
      </c>
      <c r="J781">
        <v>1439528400</v>
      </c>
      <c r="K781">
        <v>1440306000</v>
      </c>
      <c r="L781" t="b">
        <v>0</v>
      </c>
      <c r="M781" t="b">
        <v>1</v>
      </c>
      <c r="N781" t="s">
        <v>33</v>
      </c>
    </row>
    <row r="782" spans="1:14" ht="34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t="s">
        <v>20</v>
      </c>
      <c r="G782">
        <v>164</v>
      </c>
      <c r="H782" t="s">
        <v>21</v>
      </c>
      <c r="I782" t="s">
        <v>22</v>
      </c>
      <c r="J782">
        <v>1469163600</v>
      </c>
      <c r="K782">
        <v>1470805200</v>
      </c>
      <c r="L782" t="b">
        <v>0</v>
      </c>
      <c r="M782" t="b">
        <v>1</v>
      </c>
      <c r="N782" t="s">
        <v>53</v>
      </c>
    </row>
    <row r="783" spans="1:14" ht="17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t="s">
        <v>74</v>
      </c>
      <c r="G783">
        <v>56</v>
      </c>
      <c r="H783" t="s">
        <v>98</v>
      </c>
      <c r="I783" t="s">
        <v>99</v>
      </c>
      <c r="J783">
        <v>1288501200</v>
      </c>
      <c r="K783">
        <v>1292911200</v>
      </c>
      <c r="L783" t="b">
        <v>0</v>
      </c>
      <c r="M783" t="b">
        <v>0</v>
      </c>
      <c r="N783" t="s">
        <v>33</v>
      </c>
    </row>
    <row r="784" spans="1:14" ht="17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t="s">
        <v>20</v>
      </c>
      <c r="G784">
        <v>161</v>
      </c>
      <c r="H784" t="s">
        <v>21</v>
      </c>
      <c r="I784" t="s">
        <v>22</v>
      </c>
      <c r="J784">
        <v>1298959200</v>
      </c>
      <c r="K784">
        <v>1301374800</v>
      </c>
      <c r="L784" t="b">
        <v>0</v>
      </c>
      <c r="M784" t="b">
        <v>1</v>
      </c>
      <c r="N784" t="s">
        <v>71</v>
      </c>
    </row>
    <row r="785" spans="1:14" ht="17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t="s">
        <v>20</v>
      </c>
      <c r="G785">
        <v>138</v>
      </c>
      <c r="H785" t="s">
        <v>21</v>
      </c>
      <c r="I785" t="s">
        <v>22</v>
      </c>
      <c r="J785">
        <v>1387260000</v>
      </c>
      <c r="K785">
        <v>1387864800</v>
      </c>
      <c r="L785" t="b">
        <v>0</v>
      </c>
      <c r="M785" t="b">
        <v>0</v>
      </c>
      <c r="N785" t="s">
        <v>23</v>
      </c>
    </row>
    <row r="786" spans="1:14" ht="17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t="s">
        <v>20</v>
      </c>
      <c r="G786">
        <v>3308</v>
      </c>
      <c r="H786" t="s">
        <v>21</v>
      </c>
      <c r="I786" t="s">
        <v>22</v>
      </c>
      <c r="J786">
        <v>1457244000</v>
      </c>
      <c r="K786">
        <v>1458190800</v>
      </c>
      <c r="L786" t="b">
        <v>0</v>
      </c>
      <c r="M786" t="b">
        <v>0</v>
      </c>
      <c r="N786" t="s">
        <v>28</v>
      </c>
    </row>
    <row r="787" spans="1:14" ht="34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t="s">
        <v>20</v>
      </c>
      <c r="G787">
        <v>127</v>
      </c>
      <c r="H787" t="s">
        <v>26</v>
      </c>
      <c r="I787" t="s">
        <v>27</v>
      </c>
      <c r="J787">
        <v>1556341200</v>
      </c>
      <c r="K787">
        <v>1559278800</v>
      </c>
      <c r="L787" t="b">
        <v>0</v>
      </c>
      <c r="M787" t="b">
        <v>1</v>
      </c>
      <c r="N787" t="s">
        <v>71</v>
      </c>
    </row>
    <row r="788" spans="1:14" ht="17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t="s">
        <v>20</v>
      </c>
      <c r="G788">
        <v>207</v>
      </c>
      <c r="H788" t="s">
        <v>107</v>
      </c>
      <c r="I788" t="s">
        <v>108</v>
      </c>
      <c r="J788">
        <v>1522126800</v>
      </c>
      <c r="K788">
        <v>1522731600</v>
      </c>
      <c r="L788" t="b">
        <v>0</v>
      </c>
      <c r="M788" t="b">
        <v>1</v>
      </c>
      <c r="N788" t="s">
        <v>159</v>
      </c>
    </row>
    <row r="789" spans="1:14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>
        <v>1306731600</v>
      </c>
      <c r="L789" t="b">
        <v>0</v>
      </c>
      <c r="M789" t="b">
        <v>0</v>
      </c>
      <c r="N789" t="s">
        <v>23</v>
      </c>
    </row>
    <row r="790" spans="1:14" ht="17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t="s">
        <v>47</v>
      </c>
      <c r="G790">
        <v>31</v>
      </c>
      <c r="H790" t="s">
        <v>21</v>
      </c>
      <c r="I790" t="s">
        <v>22</v>
      </c>
      <c r="J790">
        <v>1350709200</v>
      </c>
      <c r="K790">
        <v>1352527200</v>
      </c>
      <c r="L790" t="b">
        <v>0</v>
      </c>
      <c r="M790" t="b">
        <v>0</v>
      </c>
      <c r="N790" t="s">
        <v>71</v>
      </c>
    </row>
    <row r="791" spans="1:14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t="s">
        <v>14</v>
      </c>
      <c r="G791">
        <v>45</v>
      </c>
      <c r="H791" t="s">
        <v>21</v>
      </c>
      <c r="I791" t="s">
        <v>22</v>
      </c>
      <c r="J791">
        <v>1401166800</v>
      </c>
      <c r="K791">
        <v>1404363600</v>
      </c>
      <c r="L791" t="b">
        <v>0</v>
      </c>
      <c r="M791" t="b">
        <v>0</v>
      </c>
      <c r="N791" t="s">
        <v>33</v>
      </c>
    </row>
    <row r="792" spans="1:14" ht="17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t="s">
        <v>74</v>
      </c>
      <c r="G792">
        <v>1113</v>
      </c>
      <c r="H792" t="s">
        <v>21</v>
      </c>
      <c r="I792" t="s">
        <v>22</v>
      </c>
      <c r="J792">
        <v>1266127200</v>
      </c>
      <c r="K792">
        <v>1266645600</v>
      </c>
      <c r="L792" t="b">
        <v>0</v>
      </c>
      <c r="M792" t="b">
        <v>0</v>
      </c>
      <c r="N792" t="s">
        <v>33</v>
      </c>
    </row>
    <row r="793" spans="1:14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t="s">
        <v>14</v>
      </c>
      <c r="G793">
        <v>6</v>
      </c>
      <c r="H793" t="s">
        <v>21</v>
      </c>
      <c r="I793" t="s">
        <v>22</v>
      </c>
      <c r="J793">
        <v>1481436000</v>
      </c>
      <c r="K793">
        <v>1482818400</v>
      </c>
      <c r="L793" t="b">
        <v>0</v>
      </c>
      <c r="M793" t="b">
        <v>0</v>
      </c>
      <c r="N793" t="s">
        <v>17</v>
      </c>
    </row>
    <row r="794" spans="1:14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t="s">
        <v>14</v>
      </c>
      <c r="G794">
        <v>7</v>
      </c>
      <c r="H794" t="s">
        <v>21</v>
      </c>
      <c r="I794" t="s">
        <v>22</v>
      </c>
      <c r="J794">
        <v>1372222800</v>
      </c>
      <c r="K794">
        <v>1374642000</v>
      </c>
      <c r="L794" t="b">
        <v>0</v>
      </c>
      <c r="M794" t="b">
        <v>1</v>
      </c>
      <c r="N794" t="s">
        <v>33</v>
      </c>
    </row>
    <row r="795" spans="1:14" ht="17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t="s">
        <v>20</v>
      </c>
      <c r="G795">
        <v>181</v>
      </c>
      <c r="H795" t="s">
        <v>98</v>
      </c>
      <c r="I795" t="s">
        <v>99</v>
      </c>
      <c r="J795">
        <v>1372136400</v>
      </c>
      <c r="K795">
        <v>1372482000</v>
      </c>
      <c r="L795" t="b">
        <v>0</v>
      </c>
      <c r="M795" t="b">
        <v>0</v>
      </c>
      <c r="N795" t="s">
        <v>68</v>
      </c>
    </row>
    <row r="796" spans="1:14" ht="17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t="s">
        <v>20</v>
      </c>
      <c r="G796">
        <v>110</v>
      </c>
      <c r="H796" t="s">
        <v>21</v>
      </c>
      <c r="I796" t="s">
        <v>22</v>
      </c>
      <c r="J796">
        <v>1513922400</v>
      </c>
      <c r="K796">
        <v>1514959200</v>
      </c>
      <c r="L796" t="b">
        <v>0</v>
      </c>
      <c r="M796" t="b">
        <v>0</v>
      </c>
      <c r="N796" t="s">
        <v>23</v>
      </c>
    </row>
    <row r="797" spans="1:14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t="s">
        <v>14</v>
      </c>
      <c r="G797">
        <v>31</v>
      </c>
      <c r="H797" t="s">
        <v>21</v>
      </c>
      <c r="I797" t="s">
        <v>22</v>
      </c>
      <c r="J797">
        <v>1477976400</v>
      </c>
      <c r="K797">
        <v>1478235600</v>
      </c>
      <c r="L797" t="b">
        <v>0</v>
      </c>
      <c r="M797" t="b">
        <v>0</v>
      </c>
      <c r="N797" t="s">
        <v>53</v>
      </c>
    </row>
    <row r="798" spans="1:14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t="s">
        <v>14</v>
      </c>
      <c r="G798">
        <v>78</v>
      </c>
      <c r="H798" t="s">
        <v>21</v>
      </c>
      <c r="I798" t="s">
        <v>22</v>
      </c>
      <c r="J798">
        <v>1407474000</v>
      </c>
      <c r="K798">
        <v>1408078800</v>
      </c>
      <c r="L798" t="b">
        <v>0</v>
      </c>
      <c r="M798" t="b">
        <v>1</v>
      </c>
      <c r="N798" t="s">
        <v>292</v>
      </c>
    </row>
    <row r="799" spans="1:14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t="s">
        <v>20</v>
      </c>
      <c r="G799">
        <v>185</v>
      </c>
      <c r="H799" t="s">
        <v>21</v>
      </c>
      <c r="I799" t="s">
        <v>22</v>
      </c>
      <c r="J799">
        <v>1546149600</v>
      </c>
      <c r="K799">
        <v>1548136800</v>
      </c>
      <c r="L799" t="b">
        <v>0</v>
      </c>
      <c r="M799" t="b">
        <v>0</v>
      </c>
      <c r="N799" t="s">
        <v>28</v>
      </c>
    </row>
    <row r="800" spans="1:14" ht="17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t="s">
        <v>20</v>
      </c>
      <c r="G800">
        <v>121</v>
      </c>
      <c r="H800" t="s">
        <v>21</v>
      </c>
      <c r="I800" t="s">
        <v>22</v>
      </c>
      <c r="J800">
        <v>1338440400</v>
      </c>
      <c r="K800">
        <v>1340859600</v>
      </c>
      <c r="L800" t="b">
        <v>0</v>
      </c>
      <c r="M800" t="b">
        <v>1</v>
      </c>
      <c r="N800" t="s">
        <v>33</v>
      </c>
    </row>
    <row r="801" spans="1:14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t="s">
        <v>14</v>
      </c>
      <c r="G801">
        <v>1225</v>
      </c>
      <c r="H801" t="s">
        <v>40</v>
      </c>
      <c r="I801" t="s">
        <v>41</v>
      </c>
      <c r="J801">
        <v>1454133600</v>
      </c>
      <c r="K801">
        <v>1454479200</v>
      </c>
      <c r="L801" t="b">
        <v>0</v>
      </c>
      <c r="M801" t="b">
        <v>0</v>
      </c>
      <c r="N801" t="s">
        <v>33</v>
      </c>
    </row>
    <row r="802" spans="1:14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t="s">
        <v>14</v>
      </c>
      <c r="G802">
        <v>1</v>
      </c>
      <c r="H802" t="s">
        <v>98</v>
      </c>
      <c r="I802" t="s">
        <v>99</v>
      </c>
      <c r="J802">
        <v>1434085200</v>
      </c>
      <c r="K802">
        <v>1434430800</v>
      </c>
      <c r="L802" t="b">
        <v>0</v>
      </c>
      <c r="M802" t="b">
        <v>0</v>
      </c>
      <c r="N802" t="s">
        <v>23</v>
      </c>
    </row>
    <row r="803" spans="1:14" ht="17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t="s">
        <v>20</v>
      </c>
      <c r="G803">
        <v>106</v>
      </c>
      <c r="H803" t="s">
        <v>21</v>
      </c>
      <c r="I803" t="s">
        <v>22</v>
      </c>
      <c r="J803">
        <v>1577772000</v>
      </c>
      <c r="K803">
        <v>1579672800</v>
      </c>
      <c r="L803" t="b">
        <v>0</v>
      </c>
      <c r="M803" t="b">
        <v>1</v>
      </c>
      <c r="N803" t="s">
        <v>122</v>
      </c>
    </row>
    <row r="804" spans="1:14" ht="34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t="s">
        <v>20</v>
      </c>
      <c r="G804">
        <v>142</v>
      </c>
      <c r="H804" t="s">
        <v>21</v>
      </c>
      <c r="I804" t="s">
        <v>22</v>
      </c>
      <c r="J804">
        <v>1562216400</v>
      </c>
      <c r="K804">
        <v>1562389200</v>
      </c>
      <c r="L804" t="b">
        <v>0</v>
      </c>
      <c r="M804" t="b">
        <v>0</v>
      </c>
      <c r="N804" t="s">
        <v>122</v>
      </c>
    </row>
    <row r="805" spans="1:14" ht="34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t="s">
        <v>20</v>
      </c>
      <c r="G805">
        <v>233</v>
      </c>
      <c r="H805" t="s">
        <v>21</v>
      </c>
      <c r="I805" t="s">
        <v>22</v>
      </c>
      <c r="J805">
        <v>1548568800</v>
      </c>
      <c r="K805">
        <v>1551506400</v>
      </c>
      <c r="L805" t="b">
        <v>0</v>
      </c>
      <c r="M805" t="b">
        <v>0</v>
      </c>
      <c r="N805" t="s">
        <v>33</v>
      </c>
    </row>
    <row r="806" spans="1:14" ht="17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t="s">
        <v>20</v>
      </c>
      <c r="G806">
        <v>218</v>
      </c>
      <c r="H806" t="s">
        <v>21</v>
      </c>
      <c r="I806" t="s">
        <v>22</v>
      </c>
      <c r="J806">
        <v>1514872800</v>
      </c>
      <c r="K806">
        <v>1516600800</v>
      </c>
      <c r="L806" t="b">
        <v>0</v>
      </c>
      <c r="M806" t="b">
        <v>0</v>
      </c>
      <c r="N806" t="s">
        <v>23</v>
      </c>
    </row>
    <row r="807" spans="1:14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t="s">
        <v>14</v>
      </c>
      <c r="G807">
        <v>67</v>
      </c>
      <c r="H807" t="s">
        <v>26</v>
      </c>
      <c r="I807" t="s">
        <v>27</v>
      </c>
      <c r="J807">
        <v>1416031200</v>
      </c>
      <c r="K807">
        <v>1420437600</v>
      </c>
      <c r="L807" t="b">
        <v>0</v>
      </c>
      <c r="M807" t="b">
        <v>0</v>
      </c>
      <c r="N807" t="s">
        <v>42</v>
      </c>
    </row>
    <row r="808" spans="1:14" ht="17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t="s">
        <v>20</v>
      </c>
      <c r="G808">
        <v>76</v>
      </c>
      <c r="H808" t="s">
        <v>21</v>
      </c>
      <c r="I808" t="s">
        <v>22</v>
      </c>
      <c r="J808">
        <v>1330927200</v>
      </c>
      <c r="K808">
        <v>1332997200</v>
      </c>
      <c r="L808" t="b">
        <v>0</v>
      </c>
      <c r="M808" t="b">
        <v>1</v>
      </c>
      <c r="N808" t="s">
        <v>53</v>
      </c>
    </row>
    <row r="809" spans="1:14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t="s">
        <v>20</v>
      </c>
      <c r="G809">
        <v>43</v>
      </c>
      <c r="H809" t="s">
        <v>21</v>
      </c>
      <c r="I809" t="s">
        <v>22</v>
      </c>
      <c r="J809">
        <v>1571115600</v>
      </c>
      <c r="K809">
        <v>1574920800</v>
      </c>
      <c r="L809" t="b">
        <v>0</v>
      </c>
      <c r="M809" t="b">
        <v>1</v>
      </c>
      <c r="N809" t="s">
        <v>33</v>
      </c>
    </row>
    <row r="810" spans="1:14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t="s">
        <v>14</v>
      </c>
      <c r="G810">
        <v>19</v>
      </c>
      <c r="H810" t="s">
        <v>21</v>
      </c>
      <c r="I810" t="s">
        <v>22</v>
      </c>
      <c r="J810">
        <v>1463461200</v>
      </c>
      <c r="K810">
        <v>1464930000</v>
      </c>
      <c r="L810" t="b">
        <v>0</v>
      </c>
      <c r="M810" t="b">
        <v>0</v>
      </c>
      <c r="N810" t="s">
        <v>17</v>
      </c>
    </row>
    <row r="811" spans="1:14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t="s">
        <v>14</v>
      </c>
      <c r="G811">
        <v>2108</v>
      </c>
      <c r="H811" t="s">
        <v>98</v>
      </c>
      <c r="I811" t="s">
        <v>99</v>
      </c>
      <c r="J811">
        <v>1344920400</v>
      </c>
      <c r="K811">
        <v>1345006800</v>
      </c>
      <c r="L811" t="b">
        <v>0</v>
      </c>
      <c r="M811" t="b">
        <v>0</v>
      </c>
      <c r="N811" t="s">
        <v>42</v>
      </c>
    </row>
    <row r="812" spans="1:14" ht="34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t="s">
        <v>20</v>
      </c>
      <c r="G812">
        <v>221</v>
      </c>
      <c r="H812" t="s">
        <v>21</v>
      </c>
      <c r="I812" t="s">
        <v>22</v>
      </c>
      <c r="J812">
        <v>1511848800</v>
      </c>
      <c r="K812">
        <v>1512712800</v>
      </c>
      <c r="L812" t="b">
        <v>0</v>
      </c>
      <c r="M812" t="b">
        <v>1</v>
      </c>
      <c r="N812" t="s">
        <v>33</v>
      </c>
    </row>
    <row r="813" spans="1:14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t="s">
        <v>14</v>
      </c>
      <c r="G813">
        <v>679</v>
      </c>
      <c r="H813" t="s">
        <v>21</v>
      </c>
      <c r="I813" t="s">
        <v>22</v>
      </c>
      <c r="J813">
        <v>1452319200</v>
      </c>
      <c r="K813">
        <v>1452492000</v>
      </c>
      <c r="L813" t="b">
        <v>0</v>
      </c>
      <c r="M813" t="b">
        <v>1</v>
      </c>
      <c r="N813" t="s">
        <v>89</v>
      </c>
    </row>
    <row r="814" spans="1:14" ht="17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t="s">
        <v>20</v>
      </c>
      <c r="G814">
        <v>2805</v>
      </c>
      <c r="H814" t="s">
        <v>15</v>
      </c>
      <c r="I814" t="s">
        <v>16</v>
      </c>
      <c r="J814">
        <v>1523854800</v>
      </c>
      <c r="K814">
        <v>1524286800</v>
      </c>
      <c r="L814" t="b">
        <v>0</v>
      </c>
      <c r="M814" t="b">
        <v>0</v>
      </c>
      <c r="N814" t="s">
        <v>68</v>
      </c>
    </row>
    <row r="815" spans="1:14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t="s">
        <v>20</v>
      </c>
      <c r="G815">
        <v>68</v>
      </c>
      <c r="H815" t="s">
        <v>21</v>
      </c>
      <c r="I815" t="s">
        <v>22</v>
      </c>
      <c r="J815">
        <v>1346043600</v>
      </c>
      <c r="K815">
        <v>1346907600</v>
      </c>
      <c r="L815" t="b">
        <v>0</v>
      </c>
      <c r="M815" t="b">
        <v>0</v>
      </c>
      <c r="N815" t="s">
        <v>89</v>
      </c>
    </row>
    <row r="816" spans="1:14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t="s">
        <v>14</v>
      </c>
      <c r="G816">
        <v>36</v>
      </c>
      <c r="H816" t="s">
        <v>36</v>
      </c>
      <c r="I816" t="s">
        <v>37</v>
      </c>
      <c r="J816">
        <v>1464325200</v>
      </c>
      <c r="K816">
        <v>1464498000</v>
      </c>
      <c r="L816" t="b">
        <v>0</v>
      </c>
      <c r="M816" t="b">
        <v>1</v>
      </c>
      <c r="N816" t="s">
        <v>23</v>
      </c>
    </row>
    <row r="817" spans="1:14" ht="34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t="s">
        <v>20</v>
      </c>
      <c r="G817">
        <v>183</v>
      </c>
      <c r="H817" t="s">
        <v>15</v>
      </c>
      <c r="I817" t="s">
        <v>16</v>
      </c>
      <c r="J817">
        <v>1511935200</v>
      </c>
      <c r="K817">
        <v>1514181600</v>
      </c>
      <c r="L817" t="b">
        <v>0</v>
      </c>
      <c r="M817" t="b">
        <v>0</v>
      </c>
      <c r="N817" t="s">
        <v>23</v>
      </c>
    </row>
    <row r="818" spans="1:14" ht="34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t="s">
        <v>20</v>
      </c>
      <c r="G818">
        <v>133</v>
      </c>
      <c r="H818" t="s">
        <v>21</v>
      </c>
      <c r="I818" t="s">
        <v>22</v>
      </c>
      <c r="J818">
        <v>1392012000</v>
      </c>
      <c r="K818">
        <v>1392184800</v>
      </c>
      <c r="L818" t="b">
        <v>1</v>
      </c>
      <c r="M818" t="b">
        <v>1</v>
      </c>
      <c r="N818" t="s">
        <v>33</v>
      </c>
    </row>
    <row r="819" spans="1:14" ht="17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t="s">
        <v>20</v>
      </c>
      <c r="G819">
        <v>2489</v>
      </c>
      <c r="H819" t="s">
        <v>107</v>
      </c>
      <c r="I819" t="s">
        <v>108</v>
      </c>
      <c r="J819">
        <v>1556946000</v>
      </c>
      <c r="K819">
        <v>1559365200</v>
      </c>
      <c r="L819" t="b">
        <v>0</v>
      </c>
      <c r="M819" t="b">
        <v>1</v>
      </c>
      <c r="N819" t="s">
        <v>68</v>
      </c>
    </row>
    <row r="820" spans="1:14" ht="17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t="s">
        <v>20</v>
      </c>
      <c r="G820">
        <v>69</v>
      </c>
      <c r="H820" t="s">
        <v>21</v>
      </c>
      <c r="I820" t="s">
        <v>22</v>
      </c>
      <c r="J820">
        <v>1548050400</v>
      </c>
      <c r="K820">
        <v>1549173600</v>
      </c>
      <c r="L820" t="b">
        <v>0</v>
      </c>
      <c r="M820" t="b">
        <v>1</v>
      </c>
      <c r="N820" t="s">
        <v>33</v>
      </c>
    </row>
    <row r="821" spans="1:14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t="s">
        <v>14</v>
      </c>
      <c r="G821">
        <v>47</v>
      </c>
      <c r="H821" t="s">
        <v>21</v>
      </c>
      <c r="I821" t="s">
        <v>22</v>
      </c>
      <c r="J821">
        <v>1353736800</v>
      </c>
      <c r="K821">
        <v>1355032800</v>
      </c>
      <c r="L821" t="b">
        <v>1</v>
      </c>
      <c r="M821" t="b">
        <v>0</v>
      </c>
      <c r="N821" t="s">
        <v>89</v>
      </c>
    </row>
    <row r="822" spans="1:14" ht="17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t="s">
        <v>20</v>
      </c>
      <c r="G822">
        <v>279</v>
      </c>
      <c r="H822" t="s">
        <v>40</v>
      </c>
      <c r="I822" t="s">
        <v>41</v>
      </c>
      <c r="J822">
        <v>1532840400</v>
      </c>
      <c r="K822">
        <v>1533963600</v>
      </c>
      <c r="L822" t="b">
        <v>0</v>
      </c>
      <c r="M822" t="b">
        <v>1</v>
      </c>
      <c r="N822" t="s">
        <v>23</v>
      </c>
    </row>
    <row r="823" spans="1:14" ht="17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t="s">
        <v>20</v>
      </c>
      <c r="G823">
        <v>210</v>
      </c>
      <c r="H823" t="s">
        <v>21</v>
      </c>
      <c r="I823" t="s">
        <v>22</v>
      </c>
      <c r="J823">
        <v>1488261600</v>
      </c>
      <c r="K823">
        <v>1489381200</v>
      </c>
      <c r="L823" t="b">
        <v>0</v>
      </c>
      <c r="M823" t="b">
        <v>0</v>
      </c>
      <c r="N823" t="s">
        <v>42</v>
      </c>
    </row>
    <row r="824" spans="1:14" ht="17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t="s">
        <v>20</v>
      </c>
      <c r="G824">
        <v>2100</v>
      </c>
      <c r="H824" t="s">
        <v>21</v>
      </c>
      <c r="I824" t="s">
        <v>22</v>
      </c>
      <c r="J824">
        <v>1393567200</v>
      </c>
      <c r="K824">
        <v>1395032400</v>
      </c>
      <c r="L824" t="b">
        <v>0</v>
      </c>
      <c r="M824" t="b">
        <v>0</v>
      </c>
      <c r="N824" t="s">
        <v>23</v>
      </c>
    </row>
    <row r="825" spans="1:14" ht="34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t="s">
        <v>20</v>
      </c>
      <c r="G825">
        <v>252</v>
      </c>
      <c r="H825" t="s">
        <v>21</v>
      </c>
      <c r="I825" t="s">
        <v>22</v>
      </c>
      <c r="J825">
        <v>1410325200</v>
      </c>
      <c r="K825">
        <v>1412485200</v>
      </c>
      <c r="L825" t="b">
        <v>1</v>
      </c>
      <c r="M825" t="b">
        <v>1</v>
      </c>
      <c r="N825" t="s">
        <v>23</v>
      </c>
    </row>
    <row r="826" spans="1:14" ht="17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t="s">
        <v>20</v>
      </c>
      <c r="G826">
        <v>1280</v>
      </c>
      <c r="H826" t="s">
        <v>21</v>
      </c>
      <c r="I826" t="s">
        <v>22</v>
      </c>
      <c r="J826">
        <v>1276923600</v>
      </c>
      <c r="K826">
        <v>1279688400</v>
      </c>
      <c r="L826" t="b">
        <v>0</v>
      </c>
      <c r="M826" t="b">
        <v>1</v>
      </c>
      <c r="N826" t="s">
        <v>68</v>
      </c>
    </row>
    <row r="827" spans="1:14" ht="17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t="s">
        <v>20</v>
      </c>
      <c r="G827">
        <v>157</v>
      </c>
      <c r="H827" t="s">
        <v>40</v>
      </c>
      <c r="I827" t="s">
        <v>41</v>
      </c>
      <c r="J827">
        <v>1500958800</v>
      </c>
      <c r="K827">
        <v>1501995600</v>
      </c>
      <c r="L827" t="b">
        <v>0</v>
      </c>
      <c r="M827" t="b">
        <v>0</v>
      </c>
      <c r="N827" t="s">
        <v>100</v>
      </c>
    </row>
    <row r="828" spans="1:14" ht="34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t="s">
        <v>20</v>
      </c>
      <c r="G828">
        <v>194</v>
      </c>
      <c r="H828" t="s">
        <v>21</v>
      </c>
      <c r="I828" t="s">
        <v>22</v>
      </c>
      <c r="J828">
        <v>1292220000</v>
      </c>
      <c r="K828">
        <v>1294639200</v>
      </c>
      <c r="L828" t="b">
        <v>0</v>
      </c>
      <c r="M828" t="b">
        <v>1</v>
      </c>
      <c r="N828" t="s">
        <v>33</v>
      </c>
    </row>
    <row r="829" spans="1:14" ht="34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t="s">
        <v>20</v>
      </c>
      <c r="G829">
        <v>82</v>
      </c>
      <c r="H829" t="s">
        <v>26</v>
      </c>
      <c r="I829" t="s">
        <v>27</v>
      </c>
      <c r="J829">
        <v>1304398800</v>
      </c>
      <c r="K829">
        <v>1305435600</v>
      </c>
      <c r="L829" t="b">
        <v>0</v>
      </c>
      <c r="M829" t="b">
        <v>1</v>
      </c>
      <c r="N829" t="s">
        <v>53</v>
      </c>
    </row>
    <row r="830" spans="1:14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t="s">
        <v>14</v>
      </c>
      <c r="G830">
        <v>70</v>
      </c>
      <c r="H830" t="s">
        <v>21</v>
      </c>
      <c r="I830" t="s">
        <v>22</v>
      </c>
      <c r="J830">
        <v>1535432400</v>
      </c>
      <c r="K830">
        <v>1537592400</v>
      </c>
      <c r="L830" t="b">
        <v>0</v>
      </c>
      <c r="M830" t="b">
        <v>0</v>
      </c>
      <c r="N830" t="s">
        <v>33</v>
      </c>
    </row>
    <row r="831" spans="1:14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t="s">
        <v>14</v>
      </c>
      <c r="G831">
        <v>154</v>
      </c>
      <c r="H831" t="s">
        <v>21</v>
      </c>
      <c r="I831" t="s">
        <v>22</v>
      </c>
      <c r="J831">
        <v>1433826000</v>
      </c>
      <c r="K831">
        <v>1435122000</v>
      </c>
      <c r="L831" t="b">
        <v>0</v>
      </c>
      <c r="M831" t="b">
        <v>0</v>
      </c>
      <c r="N831" t="s">
        <v>33</v>
      </c>
    </row>
    <row r="832" spans="1:14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t="s">
        <v>14</v>
      </c>
      <c r="G832">
        <v>22</v>
      </c>
      <c r="H832" t="s">
        <v>21</v>
      </c>
      <c r="I832" t="s">
        <v>22</v>
      </c>
      <c r="J832">
        <v>1514959200</v>
      </c>
      <c r="K832">
        <v>1520056800</v>
      </c>
      <c r="L832" t="b">
        <v>0</v>
      </c>
      <c r="M832" t="b">
        <v>0</v>
      </c>
      <c r="N832" t="s">
        <v>33</v>
      </c>
    </row>
    <row r="833" spans="1:14" ht="34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t="s">
        <v>20</v>
      </c>
      <c r="G833">
        <v>4233</v>
      </c>
      <c r="H833" t="s">
        <v>21</v>
      </c>
      <c r="I833" t="s">
        <v>22</v>
      </c>
      <c r="J833">
        <v>1332738000</v>
      </c>
      <c r="K833">
        <v>1335675600</v>
      </c>
      <c r="L833" t="b">
        <v>0</v>
      </c>
      <c r="M833" t="b">
        <v>0</v>
      </c>
      <c r="N833" t="s">
        <v>122</v>
      </c>
    </row>
    <row r="834" spans="1:14" ht="17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t="s">
        <v>20</v>
      </c>
      <c r="G834">
        <v>1297</v>
      </c>
      <c r="H834" t="s">
        <v>36</v>
      </c>
      <c r="I834" t="s">
        <v>37</v>
      </c>
      <c r="J834">
        <v>1445490000</v>
      </c>
      <c r="K834">
        <v>1448431200</v>
      </c>
      <c r="L834" t="b">
        <v>1</v>
      </c>
      <c r="M834" t="b">
        <v>0</v>
      </c>
      <c r="N834" t="s">
        <v>206</v>
      </c>
    </row>
    <row r="835" spans="1:14" ht="17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t="s">
        <v>20</v>
      </c>
      <c r="G835">
        <v>165</v>
      </c>
      <c r="H835" t="s">
        <v>36</v>
      </c>
      <c r="I835" t="s">
        <v>37</v>
      </c>
      <c r="J835">
        <v>1297663200</v>
      </c>
      <c r="K835">
        <v>1298613600</v>
      </c>
      <c r="L835" t="b">
        <v>0</v>
      </c>
      <c r="M835" t="b">
        <v>0</v>
      </c>
      <c r="N835" t="s">
        <v>206</v>
      </c>
    </row>
    <row r="836" spans="1:14" ht="17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t="s">
        <v>20</v>
      </c>
      <c r="G836">
        <v>119</v>
      </c>
      <c r="H836" t="s">
        <v>21</v>
      </c>
      <c r="I836" t="s">
        <v>22</v>
      </c>
      <c r="J836">
        <v>1371963600</v>
      </c>
      <c r="K836">
        <v>1372482000</v>
      </c>
      <c r="L836" t="b">
        <v>0</v>
      </c>
      <c r="M836" t="b">
        <v>0</v>
      </c>
      <c r="N836" t="s">
        <v>33</v>
      </c>
    </row>
    <row r="837" spans="1:14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t="s">
        <v>14</v>
      </c>
      <c r="G837">
        <v>1758</v>
      </c>
      <c r="H837" t="s">
        <v>21</v>
      </c>
      <c r="I837" t="s">
        <v>22</v>
      </c>
      <c r="J837">
        <v>1425103200</v>
      </c>
      <c r="K837">
        <v>1425621600</v>
      </c>
      <c r="L837" t="b">
        <v>0</v>
      </c>
      <c r="M837" t="b">
        <v>0</v>
      </c>
      <c r="N837" t="s">
        <v>28</v>
      </c>
    </row>
    <row r="838" spans="1:14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t="s">
        <v>14</v>
      </c>
      <c r="G838">
        <v>94</v>
      </c>
      <c r="H838" t="s">
        <v>21</v>
      </c>
      <c r="I838" t="s">
        <v>22</v>
      </c>
      <c r="J838">
        <v>1265349600</v>
      </c>
      <c r="K838">
        <v>1266300000</v>
      </c>
      <c r="L838" t="b">
        <v>0</v>
      </c>
      <c r="M838" t="b">
        <v>0</v>
      </c>
      <c r="N838" t="s">
        <v>60</v>
      </c>
    </row>
    <row r="839" spans="1:14" ht="17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t="s">
        <v>20</v>
      </c>
      <c r="G839">
        <v>1797</v>
      </c>
      <c r="H839" t="s">
        <v>21</v>
      </c>
      <c r="I839" t="s">
        <v>22</v>
      </c>
      <c r="J839">
        <v>1301202000</v>
      </c>
      <c r="K839">
        <v>1305867600</v>
      </c>
      <c r="L839" t="b">
        <v>0</v>
      </c>
      <c r="M839" t="b">
        <v>0</v>
      </c>
      <c r="N839" t="s">
        <v>159</v>
      </c>
    </row>
    <row r="840" spans="1:14" ht="17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t="s">
        <v>20</v>
      </c>
      <c r="G840">
        <v>261</v>
      </c>
      <c r="H840" t="s">
        <v>21</v>
      </c>
      <c r="I840" t="s">
        <v>22</v>
      </c>
      <c r="J840">
        <v>1538024400</v>
      </c>
      <c r="K840">
        <v>1538802000</v>
      </c>
      <c r="L840" t="b">
        <v>0</v>
      </c>
      <c r="M840" t="b">
        <v>0</v>
      </c>
      <c r="N840" t="s">
        <v>33</v>
      </c>
    </row>
    <row r="841" spans="1:14" ht="17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t="s">
        <v>20</v>
      </c>
      <c r="G841">
        <v>157</v>
      </c>
      <c r="H841" t="s">
        <v>21</v>
      </c>
      <c r="I841" t="s">
        <v>22</v>
      </c>
      <c r="J841">
        <v>1395032400</v>
      </c>
      <c r="K841">
        <v>1398920400</v>
      </c>
      <c r="L841" t="b">
        <v>0</v>
      </c>
      <c r="M841" t="b">
        <v>1</v>
      </c>
      <c r="N841" t="s">
        <v>42</v>
      </c>
    </row>
    <row r="842" spans="1:14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t="s">
        <v>20</v>
      </c>
      <c r="G842">
        <v>3533</v>
      </c>
      <c r="H842" t="s">
        <v>21</v>
      </c>
      <c r="I842" t="s">
        <v>22</v>
      </c>
      <c r="J842">
        <v>1405486800</v>
      </c>
      <c r="K842">
        <v>1405659600</v>
      </c>
      <c r="L842" t="b">
        <v>0</v>
      </c>
      <c r="M842" t="b">
        <v>1</v>
      </c>
      <c r="N842" t="s">
        <v>33</v>
      </c>
    </row>
    <row r="843" spans="1:14" ht="17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t="s">
        <v>20</v>
      </c>
      <c r="G843">
        <v>155</v>
      </c>
      <c r="H843" t="s">
        <v>21</v>
      </c>
      <c r="I843" t="s">
        <v>22</v>
      </c>
      <c r="J843">
        <v>1455861600</v>
      </c>
      <c r="K843">
        <v>1457244000</v>
      </c>
      <c r="L843" t="b">
        <v>0</v>
      </c>
      <c r="M843" t="b">
        <v>0</v>
      </c>
      <c r="N843" t="s">
        <v>28</v>
      </c>
    </row>
    <row r="844" spans="1:14" ht="34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t="s">
        <v>20</v>
      </c>
      <c r="G844">
        <v>132</v>
      </c>
      <c r="H844" t="s">
        <v>107</v>
      </c>
      <c r="I844" t="s">
        <v>108</v>
      </c>
      <c r="J844">
        <v>1529038800</v>
      </c>
      <c r="K844">
        <v>1529298000</v>
      </c>
      <c r="L844" t="b">
        <v>0</v>
      </c>
      <c r="M844" t="b">
        <v>0</v>
      </c>
      <c r="N844" t="s">
        <v>65</v>
      </c>
    </row>
    <row r="845" spans="1:14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t="s">
        <v>14</v>
      </c>
      <c r="G845">
        <v>33</v>
      </c>
      <c r="H845" t="s">
        <v>21</v>
      </c>
      <c r="I845" t="s">
        <v>22</v>
      </c>
      <c r="J845">
        <v>1535259600</v>
      </c>
      <c r="K845">
        <v>1535778000</v>
      </c>
      <c r="L845" t="b">
        <v>0</v>
      </c>
      <c r="M845" t="b">
        <v>0</v>
      </c>
      <c r="N845" t="s">
        <v>122</v>
      </c>
    </row>
    <row r="846" spans="1:14" ht="17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t="s">
        <v>74</v>
      </c>
      <c r="G846">
        <v>94</v>
      </c>
      <c r="H846" t="s">
        <v>21</v>
      </c>
      <c r="I846" t="s">
        <v>22</v>
      </c>
      <c r="J846">
        <v>1327212000</v>
      </c>
      <c r="K846">
        <v>1327471200</v>
      </c>
      <c r="L846" t="b">
        <v>0</v>
      </c>
      <c r="M846" t="b">
        <v>0</v>
      </c>
      <c r="N846" t="s">
        <v>42</v>
      </c>
    </row>
    <row r="847" spans="1:14" ht="17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t="s">
        <v>20</v>
      </c>
      <c r="G847">
        <v>1354</v>
      </c>
      <c r="H847" t="s">
        <v>40</v>
      </c>
      <c r="I847" t="s">
        <v>41</v>
      </c>
      <c r="J847">
        <v>1526360400</v>
      </c>
      <c r="K847">
        <v>1529557200</v>
      </c>
      <c r="L847" t="b">
        <v>0</v>
      </c>
      <c r="M847" t="b">
        <v>0</v>
      </c>
      <c r="N847" t="s">
        <v>28</v>
      </c>
    </row>
    <row r="848" spans="1:14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t="s">
        <v>20</v>
      </c>
      <c r="G848">
        <v>48</v>
      </c>
      <c r="H848" t="s">
        <v>21</v>
      </c>
      <c r="I848" t="s">
        <v>22</v>
      </c>
      <c r="J848">
        <v>1532149200</v>
      </c>
      <c r="K848">
        <v>1535259600</v>
      </c>
      <c r="L848" t="b">
        <v>1</v>
      </c>
      <c r="M848" t="b">
        <v>1</v>
      </c>
      <c r="N848" t="s">
        <v>28</v>
      </c>
    </row>
    <row r="849" spans="1:14" ht="17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t="s">
        <v>20</v>
      </c>
      <c r="G849">
        <v>110</v>
      </c>
      <c r="H849" t="s">
        <v>21</v>
      </c>
      <c r="I849" t="s">
        <v>22</v>
      </c>
      <c r="J849">
        <v>1515304800</v>
      </c>
      <c r="K849">
        <v>1515564000</v>
      </c>
      <c r="L849" t="b">
        <v>0</v>
      </c>
      <c r="M849" t="b">
        <v>0</v>
      </c>
      <c r="N849" t="s">
        <v>17</v>
      </c>
    </row>
    <row r="850" spans="1:14" ht="17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t="s">
        <v>20</v>
      </c>
      <c r="G850">
        <v>172</v>
      </c>
      <c r="H850" t="s">
        <v>21</v>
      </c>
      <c r="I850" t="s">
        <v>22</v>
      </c>
      <c r="J850">
        <v>1276318800</v>
      </c>
      <c r="K850">
        <v>1277096400</v>
      </c>
      <c r="L850" t="b">
        <v>0</v>
      </c>
      <c r="M850" t="b">
        <v>0</v>
      </c>
      <c r="N850" t="s">
        <v>53</v>
      </c>
    </row>
    <row r="851" spans="1:14" ht="17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t="s">
        <v>20</v>
      </c>
      <c r="G851">
        <v>307</v>
      </c>
      <c r="H851" t="s">
        <v>21</v>
      </c>
      <c r="I851" t="s">
        <v>22</v>
      </c>
      <c r="J851">
        <v>1328767200</v>
      </c>
      <c r="K851">
        <v>1329026400</v>
      </c>
      <c r="L851" t="b">
        <v>0</v>
      </c>
      <c r="M851" t="b">
        <v>1</v>
      </c>
      <c r="N851" t="s">
        <v>60</v>
      </c>
    </row>
    <row r="852" spans="1:14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t="s">
        <v>14</v>
      </c>
      <c r="G852">
        <v>1</v>
      </c>
      <c r="H852" t="s">
        <v>21</v>
      </c>
      <c r="I852" t="s">
        <v>22</v>
      </c>
      <c r="J852">
        <v>1321682400</v>
      </c>
      <c r="K852">
        <v>1322978400</v>
      </c>
      <c r="L852" t="b">
        <v>1</v>
      </c>
      <c r="M852" t="b">
        <v>0</v>
      </c>
      <c r="N852" t="s">
        <v>23</v>
      </c>
    </row>
    <row r="853" spans="1:14" ht="34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t="s">
        <v>20</v>
      </c>
      <c r="G853">
        <v>160</v>
      </c>
      <c r="H853" t="s">
        <v>21</v>
      </c>
      <c r="I853" t="s">
        <v>22</v>
      </c>
      <c r="J853">
        <v>1335934800</v>
      </c>
      <c r="K853">
        <v>1338786000</v>
      </c>
      <c r="L853" t="b">
        <v>0</v>
      </c>
      <c r="M853" t="b">
        <v>0</v>
      </c>
      <c r="N853" t="s">
        <v>50</v>
      </c>
    </row>
    <row r="854" spans="1:14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t="s">
        <v>14</v>
      </c>
      <c r="G854">
        <v>31</v>
      </c>
      <c r="H854" t="s">
        <v>21</v>
      </c>
      <c r="I854" t="s">
        <v>22</v>
      </c>
      <c r="J854">
        <v>1310792400</v>
      </c>
      <c r="K854">
        <v>1311656400</v>
      </c>
      <c r="L854" t="b">
        <v>0</v>
      </c>
      <c r="M854" t="b">
        <v>1</v>
      </c>
      <c r="N854" t="s">
        <v>89</v>
      </c>
    </row>
    <row r="855" spans="1:14" ht="17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t="s">
        <v>20</v>
      </c>
      <c r="G855">
        <v>1467</v>
      </c>
      <c r="H855" t="s">
        <v>15</v>
      </c>
      <c r="I855" t="s">
        <v>16</v>
      </c>
      <c r="J855">
        <v>1308546000</v>
      </c>
      <c r="K855">
        <v>1308978000</v>
      </c>
      <c r="L855" t="b">
        <v>0</v>
      </c>
      <c r="M855" t="b">
        <v>1</v>
      </c>
      <c r="N855" t="s">
        <v>60</v>
      </c>
    </row>
    <row r="856" spans="1:14" ht="34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t="s">
        <v>20</v>
      </c>
      <c r="G856">
        <v>2662</v>
      </c>
      <c r="H856" t="s">
        <v>15</v>
      </c>
      <c r="I856" t="s">
        <v>16</v>
      </c>
      <c r="J856">
        <v>1574056800</v>
      </c>
      <c r="K856">
        <v>1576389600</v>
      </c>
      <c r="L856" t="b">
        <v>0</v>
      </c>
      <c r="M856" t="b">
        <v>0</v>
      </c>
      <c r="N856" t="s">
        <v>119</v>
      </c>
    </row>
    <row r="857" spans="1:14" ht="17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t="s">
        <v>20</v>
      </c>
      <c r="G857">
        <v>452</v>
      </c>
      <c r="H857" t="s">
        <v>26</v>
      </c>
      <c r="I857" t="s">
        <v>27</v>
      </c>
      <c r="J857">
        <v>1308373200</v>
      </c>
      <c r="K857">
        <v>1311051600</v>
      </c>
      <c r="L857" t="b">
        <v>0</v>
      </c>
      <c r="M857" t="b">
        <v>0</v>
      </c>
      <c r="N857" t="s">
        <v>33</v>
      </c>
    </row>
    <row r="858" spans="1:14" ht="17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t="s">
        <v>20</v>
      </c>
      <c r="G858">
        <v>158</v>
      </c>
      <c r="H858" t="s">
        <v>21</v>
      </c>
      <c r="I858" t="s">
        <v>22</v>
      </c>
      <c r="J858">
        <v>1335243600</v>
      </c>
      <c r="K858">
        <v>1336712400</v>
      </c>
      <c r="L858" t="b">
        <v>0</v>
      </c>
      <c r="M858" t="b">
        <v>0</v>
      </c>
      <c r="N858" t="s">
        <v>17</v>
      </c>
    </row>
    <row r="859" spans="1:14" ht="34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t="s">
        <v>20</v>
      </c>
      <c r="G859">
        <v>225</v>
      </c>
      <c r="H859" t="s">
        <v>98</v>
      </c>
      <c r="I859" t="s">
        <v>99</v>
      </c>
      <c r="J859">
        <v>1328421600</v>
      </c>
      <c r="K859">
        <v>1330408800</v>
      </c>
      <c r="L859" t="b">
        <v>1</v>
      </c>
      <c r="M859" t="b">
        <v>0</v>
      </c>
      <c r="N859" t="s">
        <v>100</v>
      </c>
    </row>
    <row r="860" spans="1:14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t="s">
        <v>14</v>
      </c>
      <c r="G860">
        <v>35</v>
      </c>
      <c r="H860" t="s">
        <v>21</v>
      </c>
      <c r="I860" t="s">
        <v>22</v>
      </c>
      <c r="J860">
        <v>1524286800</v>
      </c>
      <c r="K860">
        <v>1524891600</v>
      </c>
      <c r="L860" t="b">
        <v>1</v>
      </c>
      <c r="M860" t="b">
        <v>0</v>
      </c>
      <c r="N860" t="s">
        <v>17</v>
      </c>
    </row>
    <row r="861" spans="1:14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t="s">
        <v>14</v>
      </c>
      <c r="G861">
        <v>63</v>
      </c>
      <c r="H861" t="s">
        <v>21</v>
      </c>
      <c r="I861" t="s">
        <v>22</v>
      </c>
      <c r="J861">
        <v>1362117600</v>
      </c>
      <c r="K861">
        <v>1363669200</v>
      </c>
      <c r="L861" t="b">
        <v>0</v>
      </c>
      <c r="M861" t="b">
        <v>1</v>
      </c>
      <c r="N861" t="s">
        <v>33</v>
      </c>
    </row>
    <row r="862" spans="1:14" ht="34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t="s">
        <v>20</v>
      </c>
      <c r="G862">
        <v>65</v>
      </c>
      <c r="H862" t="s">
        <v>21</v>
      </c>
      <c r="I862" t="s">
        <v>22</v>
      </c>
      <c r="J862">
        <v>1550556000</v>
      </c>
      <c r="K862">
        <v>1551420000</v>
      </c>
      <c r="L862" t="b">
        <v>0</v>
      </c>
      <c r="M862" t="b">
        <v>1</v>
      </c>
      <c r="N862" t="s">
        <v>65</v>
      </c>
    </row>
    <row r="863" spans="1:14" ht="17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t="s">
        <v>20</v>
      </c>
      <c r="G863">
        <v>163</v>
      </c>
      <c r="H863" t="s">
        <v>21</v>
      </c>
      <c r="I863" t="s">
        <v>22</v>
      </c>
      <c r="J863">
        <v>1269147600</v>
      </c>
      <c r="K863">
        <v>1269838800</v>
      </c>
      <c r="L863" t="b">
        <v>0</v>
      </c>
      <c r="M863" t="b">
        <v>0</v>
      </c>
      <c r="N863" t="s">
        <v>33</v>
      </c>
    </row>
    <row r="864" spans="1:14" ht="17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t="s">
        <v>20</v>
      </c>
      <c r="G864">
        <v>85</v>
      </c>
      <c r="H864" t="s">
        <v>21</v>
      </c>
      <c r="I864" t="s">
        <v>22</v>
      </c>
      <c r="J864">
        <v>1312174800</v>
      </c>
      <c r="K864">
        <v>1312520400</v>
      </c>
      <c r="L864" t="b">
        <v>0</v>
      </c>
      <c r="M864" t="b">
        <v>0</v>
      </c>
      <c r="N864" t="s">
        <v>33</v>
      </c>
    </row>
    <row r="865" spans="1:14" ht="17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t="s">
        <v>20</v>
      </c>
      <c r="G865">
        <v>217</v>
      </c>
      <c r="H865" t="s">
        <v>21</v>
      </c>
      <c r="I865" t="s">
        <v>22</v>
      </c>
      <c r="J865">
        <v>1434517200</v>
      </c>
      <c r="K865">
        <v>1436504400</v>
      </c>
      <c r="L865" t="b">
        <v>0</v>
      </c>
      <c r="M865" t="b">
        <v>1</v>
      </c>
      <c r="N865" t="s">
        <v>269</v>
      </c>
    </row>
    <row r="866" spans="1:14" ht="17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t="s">
        <v>20</v>
      </c>
      <c r="G866">
        <v>150</v>
      </c>
      <c r="H866" t="s">
        <v>21</v>
      </c>
      <c r="I866" t="s">
        <v>22</v>
      </c>
      <c r="J866">
        <v>1471582800</v>
      </c>
      <c r="K866">
        <v>1472014800</v>
      </c>
      <c r="L866" t="b">
        <v>0</v>
      </c>
      <c r="M866" t="b">
        <v>0</v>
      </c>
      <c r="N866" t="s">
        <v>100</v>
      </c>
    </row>
    <row r="867" spans="1:14" ht="17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t="s">
        <v>20</v>
      </c>
      <c r="G867">
        <v>3272</v>
      </c>
      <c r="H867" t="s">
        <v>21</v>
      </c>
      <c r="I867" t="s">
        <v>22</v>
      </c>
      <c r="J867">
        <v>1410757200</v>
      </c>
      <c r="K867">
        <v>1411534800</v>
      </c>
      <c r="L867" t="b">
        <v>0</v>
      </c>
      <c r="M867" t="b">
        <v>0</v>
      </c>
      <c r="N867" t="s">
        <v>33</v>
      </c>
    </row>
    <row r="868" spans="1:14" ht="17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t="s">
        <v>74</v>
      </c>
      <c r="G868">
        <v>898</v>
      </c>
      <c r="H868" t="s">
        <v>21</v>
      </c>
      <c r="I868" t="s">
        <v>22</v>
      </c>
      <c r="J868">
        <v>1304830800</v>
      </c>
      <c r="K868">
        <v>1304917200</v>
      </c>
      <c r="L868" t="b">
        <v>0</v>
      </c>
      <c r="M868" t="b">
        <v>0</v>
      </c>
      <c r="N868" t="s">
        <v>122</v>
      </c>
    </row>
    <row r="869" spans="1:14" ht="34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t="s">
        <v>20</v>
      </c>
      <c r="G869">
        <v>300</v>
      </c>
      <c r="H869" t="s">
        <v>21</v>
      </c>
      <c r="I869" t="s">
        <v>22</v>
      </c>
      <c r="J869">
        <v>1539061200</v>
      </c>
      <c r="K869">
        <v>1539579600</v>
      </c>
      <c r="L869" t="b">
        <v>0</v>
      </c>
      <c r="M869" t="b">
        <v>0</v>
      </c>
      <c r="N869" t="s">
        <v>17</v>
      </c>
    </row>
    <row r="870" spans="1:14" ht="17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t="s">
        <v>20</v>
      </c>
      <c r="G870">
        <v>126</v>
      </c>
      <c r="H870" t="s">
        <v>21</v>
      </c>
      <c r="I870" t="s">
        <v>22</v>
      </c>
      <c r="J870">
        <v>1381554000</v>
      </c>
      <c r="K870">
        <v>1382504400</v>
      </c>
      <c r="L870" t="b">
        <v>0</v>
      </c>
      <c r="M870" t="b">
        <v>0</v>
      </c>
      <c r="N870" t="s">
        <v>33</v>
      </c>
    </row>
    <row r="871" spans="1:14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t="s">
        <v>14</v>
      </c>
      <c r="G871">
        <v>526</v>
      </c>
      <c r="H871" t="s">
        <v>21</v>
      </c>
      <c r="I871" t="s">
        <v>22</v>
      </c>
      <c r="J871">
        <v>1277096400</v>
      </c>
      <c r="K871">
        <v>1278306000</v>
      </c>
      <c r="L871" t="b">
        <v>0</v>
      </c>
      <c r="M871" t="b">
        <v>0</v>
      </c>
      <c r="N871" t="s">
        <v>53</v>
      </c>
    </row>
    <row r="872" spans="1:14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t="s">
        <v>14</v>
      </c>
      <c r="G872">
        <v>121</v>
      </c>
      <c r="H872" t="s">
        <v>21</v>
      </c>
      <c r="I872" t="s">
        <v>22</v>
      </c>
      <c r="J872">
        <v>1440392400</v>
      </c>
      <c r="K872">
        <v>1442552400</v>
      </c>
      <c r="L872" t="b">
        <v>0</v>
      </c>
      <c r="M872" t="b">
        <v>0</v>
      </c>
      <c r="N872" t="s">
        <v>33</v>
      </c>
    </row>
    <row r="873" spans="1:14" ht="34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t="s">
        <v>20</v>
      </c>
      <c r="G873">
        <v>2320</v>
      </c>
      <c r="H873" t="s">
        <v>21</v>
      </c>
      <c r="I873" t="s">
        <v>22</v>
      </c>
      <c r="J873">
        <v>1509512400</v>
      </c>
      <c r="K873">
        <v>1511071200</v>
      </c>
      <c r="L873" t="b">
        <v>0</v>
      </c>
      <c r="M873" t="b">
        <v>1</v>
      </c>
      <c r="N873" t="s">
        <v>33</v>
      </c>
    </row>
    <row r="874" spans="1:14" ht="17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t="s">
        <v>20</v>
      </c>
      <c r="G874">
        <v>81</v>
      </c>
      <c r="H874" t="s">
        <v>26</v>
      </c>
      <c r="I874" t="s">
        <v>27</v>
      </c>
      <c r="J874">
        <v>1535950800</v>
      </c>
      <c r="K874">
        <v>1536382800</v>
      </c>
      <c r="L874" t="b">
        <v>0</v>
      </c>
      <c r="M874" t="b">
        <v>0</v>
      </c>
      <c r="N874" t="s">
        <v>474</v>
      </c>
    </row>
    <row r="875" spans="1:14" ht="17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t="s">
        <v>20</v>
      </c>
      <c r="G875">
        <v>1887</v>
      </c>
      <c r="H875" t="s">
        <v>21</v>
      </c>
      <c r="I875" t="s">
        <v>22</v>
      </c>
      <c r="J875">
        <v>1389160800</v>
      </c>
      <c r="K875">
        <v>1389592800</v>
      </c>
      <c r="L875" t="b">
        <v>0</v>
      </c>
      <c r="M875" t="b">
        <v>0</v>
      </c>
      <c r="N875" t="s">
        <v>122</v>
      </c>
    </row>
    <row r="876" spans="1:14" ht="17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t="s">
        <v>20</v>
      </c>
      <c r="G876">
        <v>4358</v>
      </c>
      <c r="H876" t="s">
        <v>21</v>
      </c>
      <c r="I876" t="s">
        <v>22</v>
      </c>
      <c r="J876">
        <v>1271998800</v>
      </c>
      <c r="K876">
        <v>1275282000</v>
      </c>
      <c r="L876" t="b">
        <v>0</v>
      </c>
      <c r="M876" t="b">
        <v>1</v>
      </c>
      <c r="N876" t="s">
        <v>122</v>
      </c>
    </row>
    <row r="877" spans="1:14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t="s">
        <v>14</v>
      </c>
      <c r="G877">
        <v>67</v>
      </c>
      <c r="H877" t="s">
        <v>21</v>
      </c>
      <c r="I877" t="s">
        <v>22</v>
      </c>
      <c r="J877">
        <v>1294898400</v>
      </c>
      <c r="K877">
        <v>1294984800</v>
      </c>
      <c r="L877" t="b">
        <v>0</v>
      </c>
      <c r="M877" t="b">
        <v>0</v>
      </c>
      <c r="N877" t="s">
        <v>23</v>
      </c>
    </row>
    <row r="878" spans="1:14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>
        <v>1562043600</v>
      </c>
      <c r="L878" t="b">
        <v>0</v>
      </c>
      <c r="M878" t="b">
        <v>0</v>
      </c>
      <c r="N878" t="s">
        <v>122</v>
      </c>
    </row>
    <row r="879" spans="1:14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t="s">
        <v>14</v>
      </c>
      <c r="G879">
        <v>1229</v>
      </c>
      <c r="H879" t="s">
        <v>21</v>
      </c>
      <c r="I879" t="s">
        <v>22</v>
      </c>
      <c r="J879">
        <v>1469509200</v>
      </c>
      <c r="K879">
        <v>1469595600</v>
      </c>
      <c r="L879" t="b">
        <v>0</v>
      </c>
      <c r="M879" t="b">
        <v>0</v>
      </c>
      <c r="N879" t="s">
        <v>17</v>
      </c>
    </row>
    <row r="880" spans="1:14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t="s">
        <v>14</v>
      </c>
      <c r="G880">
        <v>12</v>
      </c>
      <c r="H880" t="s">
        <v>107</v>
      </c>
      <c r="I880" t="s">
        <v>108</v>
      </c>
      <c r="J880">
        <v>1579068000</v>
      </c>
      <c r="K880">
        <v>1581141600</v>
      </c>
      <c r="L880" t="b">
        <v>0</v>
      </c>
      <c r="M880" t="b">
        <v>0</v>
      </c>
      <c r="N880" t="s">
        <v>148</v>
      </c>
    </row>
    <row r="881" spans="1:14" ht="17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t="s">
        <v>20</v>
      </c>
      <c r="G881">
        <v>53</v>
      </c>
      <c r="H881" t="s">
        <v>21</v>
      </c>
      <c r="I881" t="s">
        <v>22</v>
      </c>
      <c r="J881">
        <v>1487743200</v>
      </c>
      <c r="K881">
        <v>1488520800</v>
      </c>
      <c r="L881" t="b">
        <v>0</v>
      </c>
      <c r="M881" t="b">
        <v>0</v>
      </c>
      <c r="N881" t="s">
        <v>68</v>
      </c>
    </row>
    <row r="882" spans="1:14" ht="17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t="s">
        <v>20</v>
      </c>
      <c r="G882">
        <v>2414</v>
      </c>
      <c r="H882" t="s">
        <v>21</v>
      </c>
      <c r="I882" t="s">
        <v>22</v>
      </c>
      <c r="J882">
        <v>1563685200</v>
      </c>
      <c r="K882">
        <v>1563858000</v>
      </c>
      <c r="L882" t="b">
        <v>0</v>
      </c>
      <c r="M882" t="b">
        <v>0</v>
      </c>
      <c r="N882" t="s">
        <v>50</v>
      </c>
    </row>
    <row r="883" spans="1:14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t="s">
        <v>14</v>
      </c>
      <c r="G883">
        <v>452</v>
      </c>
      <c r="H883" t="s">
        <v>21</v>
      </c>
      <c r="I883" t="s">
        <v>22</v>
      </c>
      <c r="J883">
        <v>1436418000</v>
      </c>
      <c r="K883">
        <v>1438923600</v>
      </c>
      <c r="L883" t="b">
        <v>0</v>
      </c>
      <c r="M883" t="b">
        <v>1</v>
      </c>
      <c r="N883" t="s">
        <v>33</v>
      </c>
    </row>
    <row r="884" spans="1:14" ht="17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t="s">
        <v>20</v>
      </c>
      <c r="G884">
        <v>80</v>
      </c>
      <c r="H884" t="s">
        <v>21</v>
      </c>
      <c r="I884" t="s">
        <v>22</v>
      </c>
      <c r="J884">
        <v>1421820000</v>
      </c>
      <c r="K884">
        <v>1422165600</v>
      </c>
      <c r="L884" t="b">
        <v>0</v>
      </c>
      <c r="M884" t="b">
        <v>0</v>
      </c>
      <c r="N884" t="s">
        <v>33</v>
      </c>
    </row>
    <row r="885" spans="1:14" ht="34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t="s">
        <v>20</v>
      </c>
      <c r="G885">
        <v>193</v>
      </c>
      <c r="H885" t="s">
        <v>21</v>
      </c>
      <c r="I885" t="s">
        <v>22</v>
      </c>
      <c r="J885">
        <v>1274763600</v>
      </c>
      <c r="K885">
        <v>1277874000</v>
      </c>
      <c r="L885" t="b">
        <v>0</v>
      </c>
      <c r="M885" t="b">
        <v>0</v>
      </c>
      <c r="N885" t="s">
        <v>100</v>
      </c>
    </row>
    <row r="886" spans="1:14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t="s">
        <v>14</v>
      </c>
      <c r="G886">
        <v>1886</v>
      </c>
      <c r="H886" t="s">
        <v>21</v>
      </c>
      <c r="I886" t="s">
        <v>22</v>
      </c>
      <c r="J886">
        <v>1399179600</v>
      </c>
      <c r="K886">
        <v>1399352400</v>
      </c>
      <c r="L886" t="b">
        <v>0</v>
      </c>
      <c r="M886" t="b">
        <v>1</v>
      </c>
      <c r="N886" t="s">
        <v>33</v>
      </c>
    </row>
    <row r="887" spans="1:14" ht="17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t="s">
        <v>20</v>
      </c>
      <c r="G887">
        <v>52</v>
      </c>
      <c r="H887" t="s">
        <v>21</v>
      </c>
      <c r="I887" t="s">
        <v>22</v>
      </c>
      <c r="J887">
        <v>1275800400</v>
      </c>
      <c r="K887">
        <v>1279083600</v>
      </c>
      <c r="L887" t="b">
        <v>0</v>
      </c>
      <c r="M887" t="b">
        <v>0</v>
      </c>
      <c r="N887" t="s">
        <v>33</v>
      </c>
    </row>
    <row r="888" spans="1:14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t="s">
        <v>14</v>
      </c>
      <c r="G888">
        <v>1825</v>
      </c>
      <c r="H888" t="s">
        <v>21</v>
      </c>
      <c r="I888" t="s">
        <v>22</v>
      </c>
      <c r="J888">
        <v>1282798800</v>
      </c>
      <c r="K888">
        <v>1284354000</v>
      </c>
      <c r="L888" t="b">
        <v>0</v>
      </c>
      <c r="M888" t="b">
        <v>0</v>
      </c>
      <c r="N888" t="s">
        <v>60</v>
      </c>
    </row>
    <row r="889" spans="1:14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t="s">
        <v>14</v>
      </c>
      <c r="G889">
        <v>31</v>
      </c>
      <c r="H889" t="s">
        <v>21</v>
      </c>
      <c r="I889" t="s">
        <v>22</v>
      </c>
      <c r="J889">
        <v>1437109200</v>
      </c>
      <c r="K889">
        <v>1441170000</v>
      </c>
      <c r="L889" t="b">
        <v>0</v>
      </c>
      <c r="M889" t="b">
        <v>1</v>
      </c>
      <c r="N889" t="s">
        <v>33</v>
      </c>
    </row>
    <row r="890" spans="1:14" ht="34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t="s">
        <v>20</v>
      </c>
      <c r="G890">
        <v>290</v>
      </c>
      <c r="H890" t="s">
        <v>21</v>
      </c>
      <c r="I890" t="s">
        <v>22</v>
      </c>
      <c r="J890">
        <v>1491886800</v>
      </c>
      <c r="K890">
        <v>1493528400</v>
      </c>
      <c r="L890" t="b">
        <v>0</v>
      </c>
      <c r="M890" t="b">
        <v>0</v>
      </c>
      <c r="N890" t="s">
        <v>33</v>
      </c>
    </row>
    <row r="891" spans="1:14" ht="17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t="s">
        <v>20</v>
      </c>
      <c r="G891">
        <v>122</v>
      </c>
      <c r="H891" t="s">
        <v>21</v>
      </c>
      <c r="I891" t="s">
        <v>22</v>
      </c>
      <c r="J891">
        <v>1394600400</v>
      </c>
      <c r="K891">
        <v>1395205200</v>
      </c>
      <c r="L891" t="b">
        <v>0</v>
      </c>
      <c r="M891" t="b">
        <v>1</v>
      </c>
      <c r="N891" t="s">
        <v>50</v>
      </c>
    </row>
    <row r="892" spans="1:14" ht="17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t="s">
        <v>20</v>
      </c>
      <c r="G892">
        <v>1470</v>
      </c>
      <c r="H892" t="s">
        <v>21</v>
      </c>
      <c r="I892" t="s">
        <v>22</v>
      </c>
      <c r="J892">
        <v>1561352400</v>
      </c>
      <c r="K892">
        <v>1561438800</v>
      </c>
      <c r="L892" t="b">
        <v>0</v>
      </c>
      <c r="M892" t="b">
        <v>0</v>
      </c>
      <c r="N892" t="s">
        <v>60</v>
      </c>
    </row>
    <row r="893" spans="1:14" ht="34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t="s">
        <v>20</v>
      </c>
      <c r="G893">
        <v>165</v>
      </c>
      <c r="H893" t="s">
        <v>15</v>
      </c>
      <c r="I893" t="s">
        <v>16</v>
      </c>
      <c r="J893">
        <v>1322892000</v>
      </c>
      <c r="K893">
        <v>1326693600</v>
      </c>
      <c r="L893" t="b">
        <v>0</v>
      </c>
      <c r="M893" t="b">
        <v>0</v>
      </c>
      <c r="N893" t="s">
        <v>42</v>
      </c>
    </row>
    <row r="894" spans="1:14" ht="17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t="s">
        <v>20</v>
      </c>
      <c r="G894">
        <v>182</v>
      </c>
      <c r="H894" t="s">
        <v>21</v>
      </c>
      <c r="I894" t="s">
        <v>22</v>
      </c>
      <c r="J894">
        <v>1274418000</v>
      </c>
      <c r="K894">
        <v>1277960400</v>
      </c>
      <c r="L894" t="b">
        <v>0</v>
      </c>
      <c r="M894" t="b">
        <v>0</v>
      </c>
      <c r="N894" t="s">
        <v>206</v>
      </c>
    </row>
    <row r="895" spans="1:14" ht="17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t="s">
        <v>20</v>
      </c>
      <c r="G895">
        <v>199</v>
      </c>
      <c r="H895" t="s">
        <v>107</v>
      </c>
      <c r="I895" t="s">
        <v>108</v>
      </c>
      <c r="J895">
        <v>1434344400</v>
      </c>
      <c r="K895">
        <v>1434690000</v>
      </c>
      <c r="L895" t="b">
        <v>0</v>
      </c>
      <c r="M895" t="b">
        <v>1</v>
      </c>
      <c r="N895" t="s">
        <v>42</v>
      </c>
    </row>
    <row r="896" spans="1:14" ht="17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t="s">
        <v>20</v>
      </c>
      <c r="G896">
        <v>56</v>
      </c>
      <c r="H896" t="s">
        <v>40</v>
      </c>
      <c r="I896" t="s">
        <v>41</v>
      </c>
      <c r="J896">
        <v>1373518800</v>
      </c>
      <c r="K896">
        <v>1376110800</v>
      </c>
      <c r="L896" t="b">
        <v>0</v>
      </c>
      <c r="M896" t="b">
        <v>1</v>
      </c>
      <c r="N896" t="s">
        <v>269</v>
      </c>
    </row>
    <row r="897" spans="1:14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t="s">
        <v>14</v>
      </c>
      <c r="G897">
        <v>107</v>
      </c>
      <c r="H897" t="s">
        <v>21</v>
      </c>
      <c r="I897" t="s">
        <v>22</v>
      </c>
      <c r="J897">
        <v>1517637600</v>
      </c>
      <c r="K897">
        <v>1518415200</v>
      </c>
      <c r="L897" t="b">
        <v>0</v>
      </c>
      <c r="M897" t="b">
        <v>0</v>
      </c>
      <c r="N897" t="s">
        <v>33</v>
      </c>
    </row>
    <row r="898" spans="1:14" ht="34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t="s">
        <v>20</v>
      </c>
      <c r="G898">
        <v>1460</v>
      </c>
      <c r="H898" t="s">
        <v>26</v>
      </c>
      <c r="I898" t="s">
        <v>27</v>
      </c>
      <c r="J898">
        <v>1310619600</v>
      </c>
      <c r="K898">
        <v>1310878800</v>
      </c>
      <c r="L898" t="b">
        <v>0</v>
      </c>
      <c r="M898" t="b">
        <v>1</v>
      </c>
      <c r="N898" t="s">
        <v>17</v>
      </c>
    </row>
    <row r="899" spans="1:14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t="s">
        <v>14</v>
      </c>
      <c r="G899">
        <v>27</v>
      </c>
      <c r="H899" t="s">
        <v>21</v>
      </c>
      <c r="I899" t="s">
        <v>22</v>
      </c>
      <c r="J899">
        <v>1556427600</v>
      </c>
      <c r="K899">
        <v>1556600400</v>
      </c>
      <c r="L899" t="b">
        <v>0</v>
      </c>
      <c r="M899" t="b">
        <v>0</v>
      </c>
      <c r="N899" t="s">
        <v>33</v>
      </c>
    </row>
    <row r="900" spans="1:14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t="s">
        <v>14</v>
      </c>
      <c r="G900">
        <v>1221</v>
      </c>
      <c r="H900" t="s">
        <v>21</v>
      </c>
      <c r="I900" t="s">
        <v>22</v>
      </c>
      <c r="J900">
        <v>1576476000</v>
      </c>
      <c r="K900">
        <v>1576994400</v>
      </c>
      <c r="L900" t="b">
        <v>0</v>
      </c>
      <c r="M900" t="b">
        <v>0</v>
      </c>
      <c r="N900" t="s">
        <v>42</v>
      </c>
    </row>
    <row r="901" spans="1:14" ht="17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t="s">
        <v>20</v>
      </c>
      <c r="G901">
        <v>123</v>
      </c>
      <c r="H901" t="s">
        <v>98</v>
      </c>
      <c r="I901" t="s">
        <v>99</v>
      </c>
      <c r="J901">
        <v>1381122000</v>
      </c>
      <c r="K901">
        <v>1382677200</v>
      </c>
      <c r="L901" t="b">
        <v>0</v>
      </c>
      <c r="M901" t="b">
        <v>0</v>
      </c>
      <c r="N901" t="s">
        <v>159</v>
      </c>
    </row>
    <row r="902" spans="1:14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t="s">
        <v>14</v>
      </c>
      <c r="G902">
        <v>1</v>
      </c>
      <c r="H902" t="s">
        <v>21</v>
      </c>
      <c r="I902" t="s">
        <v>22</v>
      </c>
      <c r="J902">
        <v>1411102800</v>
      </c>
      <c r="K902">
        <v>1411189200</v>
      </c>
      <c r="L902" t="b">
        <v>0</v>
      </c>
      <c r="M902" t="b">
        <v>1</v>
      </c>
      <c r="N902" t="s">
        <v>28</v>
      </c>
    </row>
    <row r="903" spans="1:14" ht="17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t="s">
        <v>20</v>
      </c>
      <c r="G903">
        <v>159</v>
      </c>
      <c r="H903" t="s">
        <v>21</v>
      </c>
      <c r="I903" t="s">
        <v>22</v>
      </c>
      <c r="J903">
        <v>1531803600</v>
      </c>
      <c r="K903">
        <v>1534654800</v>
      </c>
      <c r="L903" t="b">
        <v>0</v>
      </c>
      <c r="M903" t="b">
        <v>1</v>
      </c>
      <c r="N903" t="s">
        <v>23</v>
      </c>
    </row>
    <row r="904" spans="1:14" ht="17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t="s">
        <v>20</v>
      </c>
      <c r="G904">
        <v>110</v>
      </c>
      <c r="H904" t="s">
        <v>21</v>
      </c>
      <c r="I904" t="s">
        <v>22</v>
      </c>
      <c r="J904">
        <v>1454133600</v>
      </c>
      <c r="K904">
        <v>1457762400</v>
      </c>
      <c r="L904" t="b">
        <v>0</v>
      </c>
      <c r="M904" t="b">
        <v>0</v>
      </c>
      <c r="N904" t="s">
        <v>28</v>
      </c>
    </row>
    <row r="905" spans="1:14" ht="34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t="s">
        <v>47</v>
      </c>
      <c r="G905">
        <v>14</v>
      </c>
      <c r="H905" t="s">
        <v>21</v>
      </c>
      <c r="I905" t="s">
        <v>22</v>
      </c>
      <c r="J905">
        <v>1336194000</v>
      </c>
      <c r="K905">
        <v>1337490000</v>
      </c>
      <c r="L905" t="b">
        <v>0</v>
      </c>
      <c r="M905" t="b">
        <v>1</v>
      </c>
      <c r="N905" t="s">
        <v>68</v>
      </c>
    </row>
    <row r="906" spans="1:14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t="s">
        <v>14</v>
      </c>
      <c r="G906">
        <v>16</v>
      </c>
      <c r="H906" t="s">
        <v>21</v>
      </c>
      <c r="I906" t="s">
        <v>22</v>
      </c>
      <c r="J906">
        <v>1349326800</v>
      </c>
      <c r="K906">
        <v>1349672400</v>
      </c>
      <c r="L906" t="b">
        <v>0</v>
      </c>
      <c r="M906" t="b">
        <v>0</v>
      </c>
      <c r="N906" t="s">
        <v>133</v>
      </c>
    </row>
    <row r="907" spans="1:14" ht="17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t="s">
        <v>20</v>
      </c>
      <c r="G907">
        <v>236</v>
      </c>
      <c r="H907" t="s">
        <v>21</v>
      </c>
      <c r="I907" t="s">
        <v>22</v>
      </c>
      <c r="J907">
        <v>1379566800</v>
      </c>
      <c r="K907">
        <v>1379826000</v>
      </c>
      <c r="L907" t="b">
        <v>0</v>
      </c>
      <c r="M907" t="b">
        <v>0</v>
      </c>
      <c r="N907" t="s">
        <v>33</v>
      </c>
    </row>
    <row r="908" spans="1:14" ht="34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t="s">
        <v>20</v>
      </c>
      <c r="G908">
        <v>191</v>
      </c>
      <c r="H908" t="s">
        <v>21</v>
      </c>
      <c r="I908" t="s">
        <v>22</v>
      </c>
      <c r="J908">
        <v>1494651600</v>
      </c>
      <c r="K908">
        <v>1497762000</v>
      </c>
      <c r="L908" t="b">
        <v>1</v>
      </c>
      <c r="M908" t="b">
        <v>1</v>
      </c>
      <c r="N908" t="s">
        <v>42</v>
      </c>
    </row>
    <row r="909" spans="1:14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t="s">
        <v>14</v>
      </c>
      <c r="G909">
        <v>41</v>
      </c>
      <c r="H909" t="s">
        <v>21</v>
      </c>
      <c r="I909" t="s">
        <v>22</v>
      </c>
      <c r="J909">
        <v>1303880400</v>
      </c>
      <c r="K909">
        <v>1304485200</v>
      </c>
      <c r="L909" t="b">
        <v>0</v>
      </c>
      <c r="M909" t="b">
        <v>0</v>
      </c>
      <c r="N909" t="s">
        <v>33</v>
      </c>
    </row>
    <row r="910" spans="1:14" ht="17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t="s">
        <v>20</v>
      </c>
      <c r="G910">
        <v>3934</v>
      </c>
      <c r="H910" t="s">
        <v>21</v>
      </c>
      <c r="I910" t="s">
        <v>22</v>
      </c>
      <c r="J910">
        <v>1335934800</v>
      </c>
      <c r="K910">
        <v>1336885200</v>
      </c>
      <c r="L910" t="b">
        <v>0</v>
      </c>
      <c r="M910" t="b">
        <v>0</v>
      </c>
      <c r="N910" t="s">
        <v>89</v>
      </c>
    </row>
    <row r="911" spans="1:14" ht="17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t="s">
        <v>20</v>
      </c>
      <c r="G911">
        <v>80</v>
      </c>
      <c r="H911" t="s">
        <v>15</v>
      </c>
      <c r="I911" t="s">
        <v>16</v>
      </c>
      <c r="J911">
        <v>1528088400</v>
      </c>
      <c r="K911">
        <v>1530421200</v>
      </c>
      <c r="L911" t="b">
        <v>0</v>
      </c>
      <c r="M911" t="b">
        <v>1</v>
      </c>
      <c r="N911" t="s">
        <v>33</v>
      </c>
    </row>
    <row r="912" spans="1:14" ht="17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t="s">
        <v>74</v>
      </c>
      <c r="G912">
        <v>296</v>
      </c>
      <c r="H912" t="s">
        <v>21</v>
      </c>
      <c r="I912" t="s">
        <v>22</v>
      </c>
      <c r="J912">
        <v>1421906400</v>
      </c>
      <c r="K912">
        <v>1421992800</v>
      </c>
      <c r="L912" t="b">
        <v>0</v>
      </c>
      <c r="M912" t="b">
        <v>0</v>
      </c>
      <c r="N912" t="s">
        <v>33</v>
      </c>
    </row>
    <row r="913" spans="1:14" ht="17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t="s">
        <v>20</v>
      </c>
      <c r="G913">
        <v>462</v>
      </c>
      <c r="H913" t="s">
        <v>21</v>
      </c>
      <c r="I913" t="s">
        <v>22</v>
      </c>
      <c r="J913">
        <v>1568005200</v>
      </c>
      <c r="K913">
        <v>1568178000</v>
      </c>
      <c r="L913" t="b">
        <v>1</v>
      </c>
      <c r="M913" t="b">
        <v>0</v>
      </c>
      <c r="N913" t="s">
        <v>28</v>
      </c>
    </row>
    <row r="914" spans="1:14" ht="17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t="s">
        <v>20</v>
      </c>
      <c r="G914">
        <v>179</v>
      </c>
      <c r="H914" t="s">
        <v>21</v>
      </c>
      <c r="I914" t="s">
        <v>22</v>
      </c>
      <c r="J914">
        <v>1346821200</v>
      </c>
      <c r="K914">
        <v>1347944400</v>
      </c>
      <c r="L914" t="b">
        <v>1</v>
      </c>
      <c r="M914" t="b">
        <v>0</v>
      </c>
      <c r="N914" t="s">
        <v>53</v>
      </c>
    </row>
    <row r="915" spans="1:14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t="s">
        <v>14</v>
      </c>
      <c r="G915">
        <v>523</v>
      </c>
      <c r="H915" t="s">
        <v>26</v>
      </c>
      <c r="I915" t="s">
        <v>27</v>
      </c>
      <c r="J915">
        <v>1557637200</v>
      </c>
      <c r="K915">
        <v>1558760400</v>
      </c>
      <c r="L915" t="b">
        <v>0</v>
      </c>
      <c r="M915" t="b">
        <v>0</v>
      </c>
      <c r="N915" t="s">
        <v>53</v>
      </c>
    </row>
    <row r="916" spans="1:14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t="s">
        <v>14</v>
      </c>
      <c r="G916">
        <v>141</v>
      </c>
      <c r="H916" t="s">
        <v>40</v>
      </c>
      <c r="I916" t="s">
        <v>41</v>
      </c>
      <c r="J916">
        <v>1375592400</v>
      </c>
      <c r="K916">
        <v>1376629200</v>
      </c>
      <c r="L916" t="b">
        <v>0</v>
      </c>
      <c r="M916" t="b">
        <v>0</v>
      </c>
      <c r="N916" t="s">
        <v>33</v>
      </c>
    </row>
    <row r="917" spans="1:14" ht="17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t="s">
        <v>20</v>
      </c>
      <c r="G917">
        <v>1866</v>
      </c>
      <c r="H917" t="s">
        <v>40</v>
      </c>
      <c r="I917" t="s">
        <v>41</v>
      </c>
      <c r="J917">
        <v>1503982800</v>
      </c>
      <c r="K917">
        <v>1504760400</v>
      </c>
      <c r="L917" t="b">
        <v>0</v>
      </c>
      <c r="M917" t="b">
        <v>0</v>
      </c>
      <c r="N917" t="s">
        <v>269</v>
      </c>
    </row>
    <row r="918" spans="1:14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t="s">
        <v>14</v>
      </c>
      <c r="G918">
        <v>52</v>
      </c>
      <c r="H918" t="s">
        <v>21</v>
      </c>
      <c r="I918" t="s">
        <v>22</v>
      </c>
      <c r="J918">
        <v>1418882400</v>
      </c>
      <c r="K918">
        <v>1419660000</v>
      </c>
      <c r="L918" t="b">
        <v>0</v>
      </c>
      <c r="M918" t="b">
        <v>0</v>
      </c>
      <c r="N918" t="s">
        <v>122</v>
      </c>
    </row>
    <row r="919" spans="1:14" ht="17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t="s">
        <v>47</v>
      </c>
      <c r="G919">
        <v>27</v>
      </c>
      <c r="H919" t="s">
        <v>40</v>
      </c>
      <c r="I919" t="s">
        <v>41</v>
      </c>
      <c r="J919">
        <v>1309237200</v>
      </c>
      <c r="K919">
        <v>1311310800</v>
      </c>
      <c r="L919" t="b">
        <v>0</v>
      </c>
      <c r="M919" t="b">
        <v>1</v>
      </c>
      <c r="N919" t="s">
        <v>100</v>
      </c>
    </row>
    <row r="920" spans="1:14" ht="17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t="s">
        <v>20</v>
      </c>
      <c r="G920">
        <v>156</v>
      </c>
      <c r="H920" t="s">
        <v>98</v>
      </c>
      <c r="I920" t="s">
        <v>99</v>
      </c>
      <c r="J920">
        <v>1343365200</v>
      </c>
      <c r="K920">
        <v>1344315600</v>
      </c>
      <c r="L920" t="b">
        <v>0</v>
      </c>
      <c r="M920" t="b">
        <v>0</v>
      </c>
      <c r="N920" t="s">
        <v>133</v>
      </c>
    </row>
    <row r="921" spans="1:14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t="s">
        <v>14</v>
      </c>
      <c r="G921">
        <v>225</v>
      </c>
      <c r="H921" t="s">
        <v>26</v>
      </c>
      <c r="I921" t="s">
        <v>27</v>
      </c>
      <c r="J921">
        <v>1507957200</v>
      </c>
      <c r="K921">
        <v>1510725600</v>
      </c>
      <c r="L921" t="b">
        <v>0</v>
      </c>
      <c r="M921" t="b">
        <v>1</v>
      </c>
      <c r="N921" t="s">
        <v>33</v>
      </c>
    </row>
    <row r="922" spans="1:14" ht="17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t="s">
        <v>20</v>
      </c>
      <c r="G922">
        <v>255</v>
      </c>
      <c r="H922" t="s">
        <v>21</v>
      </c>
      <c r="I922" t="s">
        <v>22</v>
      </c>
      <c r="J922">
        <v>1549519200</v>
      </c>
      <c r="K922">
        <v>1551247200</v>
      </c>
      <c r="L922" t="b">
        <v>1</v>
      </c>
      <c r="M922" t="b">
        <v>0</v>
      </c>
      <c r="N922" t="s">
        <v>71</v>
      </c>
    </row>
    <row r="923" spans="1:14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t="s">
        <v>14</v>
      </c>
      <c r="G923">
        <v>38</v>
      </c>
      <c r="H923" t="s">
        <v>21</v>
      </c>
      <c r="I923" t="s">
        <v>22</v>
      </c>
      <c r="J923">
        <v>1329026400</v>
      </c>
      <c r="K923">
        <v>1330236000</v>
      </c>
      <c r="L923" t="b">
        <v>0</v>
      </c>
      <c r="M923" t="b">
        <v>0</v>
      </c>
      <c r="N923" t="s">
        <v>28</v>
      </c>
    </row>
    <row r="924" spans="1:14" ht="17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t="s">
        <v>20</v>
      </c>
      <c r="G924">
        <v>2261</v>
      </c>
      <c r="H924" t="s">
        <v>21</v>
      </c>
      <c r="I924" t="s">
        <v>22</v>
      </c>
      <c r="J924">
        <v>1544335200</v>
      </c>
      <c r="K924">
        <v>1545112800</v>
      </c>
      <c r="L924" t="b">
        <v>0</v>
      </c>
      <c r="M924" t="b">
        <v>1</v>
      </c>
      <c r="N924" t="s">
        <v>319</v>
      </c>
    </row>
    <row r="925" spans="1:14" ht="17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t="s">
        <v>20</v>
      </c>
      <c r="G925">
        <v>40</v>
      </c>
      <c r="H925" t="s">
        <v>21</v>
      </c>
      <c r="I925" t="s">
        <v>22</v>
      </c>
      <c r="J925">
        <v>1279083600</v>
      </c>
      <c r="K925">
        <v>1279170000</v>
      </c>
      <c r="L925" t="b">
        <v>0</v>
      </c>
      <c r="M925" t="b">
        <v>0</v>
      </c>
      <c r="N925" t="s">
        <v>33</v>
      </c>
    </row>
    <row r="926" spans="1:14" ht="17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t="s">
        <v>20</v>
      </c>
      <c r="G926">
        <v>2289</v>
      </c>
      <c r="H926" t="s">
        <v>107</v>
      </c>
      <c r="I926" t="s">
        <v>108</v>
      </c>
      <c r="J926">
        <v>1572498000</v>
      </c>
      <c r="K926">
        <v>1573452000</v>
      </c>
      <c r="L926" t="b">
        <v>0</v>
      </c>
      <c r="M926" t="b">
        <v>0</v>
      </c>
      <c r="N926" t="s">
        <v>33</v>
      </c>
    </row>
    <row r="927" spans="1:14" ht="34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t="s">
        <v>20</v>
      </c>
      <c r="G927">
        <v>65</v>
      </c>
      <c r="H927" t="s">
        <v>21</v>
      </c>
      <c r="I927" t="s">
        <v>22</v>
      </c>
      <c r="J927">
        <v>1506056400</v>
      </c>
      <c r="K927">
        <v>1507093200</v>
      </c>
      <c r="L927" t="b">
        <v>0</v>
      </c>
      <c r="M927" t="b">
        <v>0</v>
      </c>
      <c r="N927" t="s">
        <v>33</v>
      </c>
    </row>
    <row r="928" spans="1:14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t="s">
        <v>14</v>
      </c>
      <c r="G928">
        <v>15</v>
      </c>
      <c r="H928" t="s">
        <v>21</v>
      </c>
      <c r="I928" t="s">
        <v>22</v>
      </c>
      <c r="J928">
        <v>1463029200</v>
      </c>
      <c r="K928">
        <v>1463374800</v>
      </c>
      <c r="L928" t="b">
        <v>0</v>
      </c>
      <c r="M928" t="b">
        <v>0</v>
      </c>
      <c r="N928" t="s">
        <v>17</v>
      </c>
    </row>
    <row r="929" spans="1:14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t="s">
        <v>14</v>
      </c>
      <c r="G929">
        <v>37</v>
      </c>
      <c r="H929" t="s">
        <v>21</v>
      </c>
      <c r="I929" t="s">
        <v>22</v>
      </c>
      <c r="J929">
        <v>1342069200</v>
      </c>
      <c r="K929">
        <v>1344574800</v>
      </c>
      <c r="L929" t="b">
        <v>0</v>
      </c>
      <c r="M929" t="b">
        <v>0</v>
      </c>
      <c r="N929" t="s">
        <v>33</v>
      </c>
    </row>
    <row r="930" spans="1:14" ht="17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t="s">
        <v>20</v>
      </c>
      <c r="G930">
        <v>3777</v>
      </c>
      <c r="H930" t="s">
        <v>107</v>
      </c>
      <c r="I930" t="s">
        <v>108</v>
      </c>
      <c r="J930">
        <v>1388296800</v>
      </c>
      <c r="K930">
        <v>1389074400</v>
      </c>
      <c r="L930" t="b">
        <v>0</v>
      </c>
      <c r="M930" t="b">
        <v>0</v>
      </c>
      <c r="N930" t="s">
        <v>28</v>
      </c>
    </row>
    <row r="931" spans="1:14" ht="17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t="s">
        <v>20</v>
      </c>
      <c r="G931">
        <v>184</v>
      </c>
      <c r="H931" t="s">
        <v>40</v>
      </c>
      <c r="I931" t="s">
        <v>41</v>
      </c>
      <c r="J931">
        <v>1493787600</v>
      </c>
      <c r="K931">
        <v>1494997200</v>
      </c>
      <c r="L931" t="b">
        <v>0</v>
      </c>
      <c r="M931" t="b">
        <v>0</v>
      </c>
      <c r="N931" t="s">
        <v>33</v>
      </c>
    </row>
    <row r="932" spans="1:14" ht="17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t="s">
        <v>20</v>
      </c>
      <c r="G932">
        <v>85</v>
      </c>
      <c r="H932" t="s">
        <v>21</v>
      </c>
      <c r="I932" t="s">
        <v>22</v>
      </c>
      <c r="J932">
        <v>1424844000</v>
      </c>
      <c r="K932">
        <v>1425448800</v>
      </c>
      <c r="L932" t="b">
        <v>0</v>
      </c>
      <c r="M932" t="b">
        <v>1</v>
      </c>
      <c r="N932" t="s">
        <v>33</v>
      </c>
    </row>
    <row r="933" spans="1:14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t="s">
        <v>14</v>
      </c>
      <c r="G933">
        <v>112</v>
      </c>
      <c r="H933" t="s">
        <v>21</v>
      </c>
      <c r="I933" t="s">
        <v>22</v>
      </c>
      <c r="J933">
        <v>1403931600</v>
      </c>
      <c r="K933">
        <v>1404104400</v>
      </c>
      <c r="L933" t="b">
        <v>0</v>
      </c>
      <c r="M933" t="b">
        <v>1</v>
      </c>
      <c r="N933" t="s">
        <v>33</v>
      </c>
    </row>
    <row r="934" spans="1:14" ht="17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t="s">
        <v>20</v>
      </c>
      <c r="G934">
        <v>144</v>
      </c>
      <c r="H934" t="s">
        <v>21</v>
      </c>
      <c r="I934" t="s">
        <v>22</v>
      </c>
      <c r="J934">
        <v>1394514000</v>
      </c>
      <c r="K934">
        <v>1394773200</v>
      </c>
      <c r="L934" t="b">
        <v>0</v>
      </c>
      <c r="M934" t="b">
        <v>0</v>
      </c>
      <c r="N934" t="s">
        <v>23</v>
      </c>
    </row>
    <row r="935" spans="1:14" ht="17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t="s">
        <v>20</v>
      </c>
      <c r="G935">
        <v>1902</v>
      </c>
      <c r="H935" t="s">
        <v>21</v>
      </c>
      <c r="I935" t="s">
        <v>22</v>
      </c>
      <c r="J935">
        <v>1365397200</v>
      </c>
      <c r="K935">
        <v>1366520400</v>
      </c>
      <c r="L935" t="b">
        <v>0</v>
      </c>
      <c r="M935" t="b">
        <v>0</v>
      </c>
      <c r="N935" t="s">
        <v>33</v>
      </c>
    </row>
    <row r="936" spans="1:14" ht="17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t="s">
        <v>20</v>
      </c>
      <c r="G936">
        <v>105</v>
      </c>
      <c r="H936" t="s">
        <v>21</v>
      </c>
      <c r="I936" t="s">
        <v>22</v>
      </c>
      <c r="J936">
        <v>1456120800</v>
      </c>
      <c r="K936">
        <v>1456639200</v>
      </c>
      <c r="L936" t="b">
        <v>0</v>
      </c>
      <c r="M936" t="b">
        <v>0</v>
      </c>
      <c r="N936" t="s">
        <v>33</v>
      </c>
    </row>
    <row r="937" spans="1:14" ht="34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t="s">
        <v>20</v>
      </c>
      <c r="G937">
        <v>132</v>
      </c>
      <c r="H937" t="s">
        <v>21</v>
      </c>
      <c r="I937" t="s">
        <v>22</v>
      </c>
      <c r="J937">
        <v>1437714000</v>
      </c>
      <c r="K937">
        <v>1438318800</v>
      </c>
      <c r="L937" t="b">
        <v>0</v>
      </c>
      <c r="M937" t="b">
        <v>0</v>
      </c>
      <c r="N937" t="s">
        <v>33</v>
      </c>
    </row>
    <row r="938" spans="1:14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t="s">
        <v>14</v>
      </c>
      <c r="G938">
        <v>21</v>
      </c>
      <c r="H938" t="s">
        <v>21</v>
      </c>
      <c r="I938" t="s">
        <v>22</v>
      </c>
      <c r="J938">
        <v>1563771600</v>
      </c>
      <c r="K938">
        <v>1564030800</v>
      </c>
      <c r="L938" t="b">
        <v>1</v>
      </c>
      <c r="M938" t="b">
        <v>0</v>
      </c>
      <c r="N938" t="s">
        <v>33</v>
      </c>
    </row>
    <row r="939" spans="1:14" ht="17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t="s">
        <v>74</v>
      </c>
      <c r="G939">
        <v>976</v>
      </c>
      <c r="H939" t="s">
        <v>21</v>
      </c>
      <c r="I939" t="s">
        <v>22</v>
      </c>
      <c r="J939">
        <v>1448517600</v>
      </c>
      <c r="K939">
        <v>1449295200</v>
      </c>
      <c r="L939" t="b">
        <v>0</v>
      </c>
      <c r="M939" t="b">
        <v>0</v>
      </c>
      <c r="N939" t="s">
        <v>42</v>
      </c>
    </row>
    <row r="940" spans="1:14" ht="17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t="s">
        <v>20</v>
      </c>
      <c r="G940">
        <v>96</v>
      </c>
      <c r="H940" t="s">
        <v>21</v>
      </c>
      <c r="I940" t="s">
        <v>22</v>
      </c>
      <c r="J940">
        <v>1528779600</v>
      </c>
      <c r="K940">
        <v>1531890000</v>
      </c>
      <c r="L940" t="b">
        <v>0</v>
      </c>
      <c r="M940" t="b">
        <v>1</v>
      </c>
      <c r="N940" t="s">
        <v>119</v>
      </c>
    </row>
    <row r="941" spans="1:14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t="s">
        <v>14</v>
      </c>
      <c r="G941">
        <v>67</v>
      </c>
      <c r="H941" t="s">
        <v>21</v>
      </c>
      <c r="I941" t="s">
        <v>22</v>
      </c>
      <c r="J941">
        <v>1304744400</v>
      </c>
      <c r="K941">
        <v>1306213200</v>
      </c>
      <c r="L941" t="b">
        <v>0</v>
      </c>
      <c r="M941" t="b">
        <v>1</v>
      </c>
      <c r="N941" t="s">
        <v>89</v>
      </c>
    </row>
    <row r="942" spans="1:14" ht="17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t="s">
        <v>47</v>
      </c>
      <c r="G942">
        <v>66</v>
      </c>
      <c r="H942" t="s">
        <v>15</v>
      </c>
      <c r="I942" t="s">
        <v>16</v>
      </c>
      <c r="J942">
        <v>1354341600</v>
      </c>
      <c r="K942">
        <v>1356242400</v>
      </c>
      <c r="L942" t="b">
        <v>0</v>
      </c>
      <c r="M942" t="b">
        <v>0</v>
      </c>
      <c r="N942" t="s">
        <v>28</v>
      </c>
    </row>
    <row r="943" spans="1:14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t="s">
        <v>14</v>
      </c>
      <c r="G943">
        <v>78</v>
      </c>
      <c r="H943" t="s">
        <v>21</v>
      </c>
      <c r="I943" t="s">
        <v>22</v>
      </c>
      <c r="J943">
        <v>1294552800</v>
      </c>
      <c r="K943">
        <v>1297576800</v>
      </c>
      <c r="L943" t="b">
        <v>1</v>
      </c>
      <c r="M943" t="b">
        <v>0</v>
      </c>
      <c r="N943" t="s">
        <v>33</v>
      </c>
    </row>
    <row r="944" spans="1:14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t="s">
        <v>14</v>
      </c>
      <c r="G944">
        <v>67</v>
      </c>
      <c r="H944" t="s">
        <v>26</v>
      </c>
      <c r="I944" t="s">
        <v>27</v>
      </c>
      <c r="J944">
        <v>1295935200</v>
      </c>
      <c r="K944">
        <v>1296194400</v>
      </c>
      <c r="L944" t="b">
        <v>0</v>
      </c>
      <c r="M944" t="b">
        <v>0</v>
      </c>
      <c r="N944" t="s">
        <v>33</v>
      </c>
    </row>
    <row r="945" spans="1:14" ht="17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t="s">
        <v>20</v>
      </c>
      <c r="G945">
        <v>114</v>
      </c>
      <c r="H945" t="s">
        <v>21</v>
      </c>
      <c r="I945" t="s">
        <v>22</v>
      </c>
      <c r="J945">
        <v>1411534800</v>
      </c>
      <c r="K945">
        <v>1414558800</v>
      </c>
      <c r="L945" t="b">
        <v>0</v>
      </c>
      <c r="M945" t="b">
        <v>0</v>
      </c>
      <c r="N945" t="s">
        <v>17</v>
      </c>
    </row>
    <row r="946" spans="1:14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t="s">
        <v>14</v>
      </c>
      <c r="G946">
        <v>263</v>
      </c>
      <c r="H946" t="s">
        <v>26</v>
      </c>
      <c r="I946" t="s">
        <v>27</v>
      </c>
      <c r="J946">
        <v>1486706400</v>
      </c>
      <c r="K946">
        <v>1488348000</v>
      </c>
      <c r="L946" t="b">
        <v>0</v>
      </c>
      <c r="M946" t="b">
        <v>0</v>
      </c>
      <c r="N946" t="s">
        <v>122</v>
      </c>
    </row>
    <row r="947" spans="1:14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t="s">
        <v>14</v>
      </c>
      <c r="G947">
        <v>1691</v>
      </c>
      <c r="H947" t="s">
        <v>21</v>
      </c>
      <c r="I947" t="s">
        <v>22</v>
      </c>
      <c r="J947">
        <v>1333602000</v>
      </c>
      <c r="K947">
        <v>1334898000</v>
      </c>
      <c r="L947" t="b">
        <v>1</v>
      </c>
      <c r="M947" t="b">
        <v>0</v>
      </c>
      <c r="N947" t="s">
        <v>122</v>
      </c>
    </row>
    <row r="948" spans="1:14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t="s">
        <v>14</v>
      </c>
      <c r="G948">
        <v>181</v>
      </c>
      <c r="H948" t="s">
        <v>21</v>
      </c>
      <c r="I948" t="s">
        <v>22</v>
      </c>
      <c r="J948">
        <v>1308200400</v>
      </c>
      <c r="K948">
        <v>1308373200</v>
      </c>
      <c r="L948" t="b">
        <v>0</v>
      </c>
      <c r="M948" t="b">
        <v>0</v>
      </c>
      <c r="N948" t="s">
        <v>33</v>
      </c>
    </row>
    <row r="949" spans="1:14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t="s">
        <v>14</v>
      </c>
      <c r="G949">
        <v>13</v>
      </c>
      <c r="H949" t="s">
        <v>21</v>
      </c>
      <c r="I949" t="s">
        <v>22</v>
      </c>
      <c r="J949">
        <v>1411707600</v>
      </c>
      <c r="K949">
        <v>1412312400</v>
      </c>
      <c r="L949" t="b">
        <v>0</v>
      </c>
      <c r="M949" t="b">
        <v>0</v>
      </c>
      <c r="N949" t="s">
        <v>33</v>
      </c>
    </row>
    <row r="950" spans="1:14" ht="17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t="s">
        <v>74</v>
      </c>
      <c r="G950">
        <v>160</v>
      </c>
      <c r="H950" t="s">
        <v>21</v>
      </c>
      <c r="I950" t="s">
        <v>22</v>
      </c>
      <c r="J950">
        <v>1418364000</v>
      </c>
      <c r="K950">
        <v>1419228000</v>
      </c>
      <c r="L950" t="b">
        <v>1</v>
      </c>
      <c r="M950" t="b">
        <v>1</v>
      </c>
      <c r="N950" t="s">
        <v>42</v>
      </c>
    </row>
    <row r="951" spans="1:14" ht="34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t="s">
        <v>20</v>
      </c>
      <c r="G951">
        <v>203</v>
      </c>
      <c r="H951" t="s">
        <v>21</v>
      </c>
      <c r="I951" t="s">
        <v>22</v>
      </c>
      <c r="J951">
        <v>1429333200</v>
      </c>
      <c r="K951">
        <v>1430974800</v>
      </c>
      <c r="L951" t="b">
        <v>0</v>
      </c>
      <c r="M951" t="b">
        <v>0</v>
      </c>
      <c r="N951" t="s">
        <v>28</v>
      </c>
    </row>
    <row r="952" spans="1:14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t="s">
        <v>14</v>
      </c>
      <c r="G952">
        <v>1</v>
      </c>
      <c r="H952" t="s">
        <v>21</v>
      </c>
      <c r="I952" t="s">
        <v>22</v>
      </c>
      <c r="J952">
        <v>1555390800</v>
      </c>
      <c r="K952">
        <v>1555822800</v>
      </c>
      <c r="L952" t="b">
        <v>0</v>
      </c>
      <c r="M952" t="b">
        <v>1</v>
      </c>
      <c r="N952" t="s">
        <v>33</v>
      </c>
    </row>
    <row r="953" spans="1:14" ht="17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t="s">
        <v>20</v>
      </c>
      <c r="G953">
        <v>1559</v>
      </c>
      <c r="H953" t="s">
        <v>21</v>
      </c>
      <c r="I953" t="s">
        <v>22</v>
      </c>
      <c r="J953">
        <v>1482732000</v>
      </c>
      <c r="K953">
        <v>1482818400</v>
      </c>
      <c r="L953" t="b">
        <v>0</v>
      </c>
      <c r="M953" t="b">
        <v>1</v>
      </c>
      <c r="N953" t="s">
        <v>23</v>
      </c>
    </row>
    <row r="954" spans="1:14" ht="17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t="s">
        <v>74</v>
      </c>
      <c r="G954">
        <v>2266</v>
      </c>
      <c r="H954" t="s">
        <v>21</v>
      </c>
      <c r="I954" t="s">
        <v>22</v>
      </c>
      <c r="J954">
        <v>1470718800</v>
      </c>
      <c r="K954">
        <v>1471928400</v>
      </c>
      <c r="L954" t="b">
        <v>0</v>
      </c>
      <c r="M954" t="b">
        <v>0</v>
      </c>
      <c r="N954" t="s">
        <v>42</v>
      </c>
    </row>
    <row r="955" spans="1:14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t="s">
        <v>14</v>
      </c>
      <c r="G955">
        <v>21</v>
      </c>
      <c r="H955" t="s">
        <v>21</v>
      </c>
      <c r="I955" t="s">
        <v>22</v>
      </c>
      <c r="J955">
        <v>1450591200</v>
      </c>
      <c r="K955">
        <v>1453701600</v>
      </c>
      <c r="L955" t="b">
        <v>0</v>
      </c>
      <c r="M955" t="b">
        <v>1</v>
      </c>
      <c r="N955" t="s">
        <v>474</v>
      </c>
    </row>
    <row r="956" spans="1:14" ht="17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t="s">
        <v>20</v>
      </c>
      <c r="G956">
        <v>1548</v>
      </c>
      <c r="H956" t="s">
        <v>26</v>
      </c>
      <c r="I956" t="s">
        <v>27</v>
      </c>
      <c r="J956">
        <v>1348290000</v>
      </c>
      <c r="K956">
        <v>1350363600</v>
      </c>
      <c r="L956" t="b">
        <v>0</v>
      </c>
      <c r="M956" t="b">
        <v>0</v>
      </c>
      <c r="N956" t="s">
        <v>28</v>
      </c>
    </row>
    <row r="957" spans="1:14" ht="34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t="s">
        <v>20</v>
      </c>
      <c r="G957">
        <v>80</v>
      </c>
      <c r="H957" t="s">
        <v>21</v>
      </c>
      <c r="I957" t="s">
        <v>22</v>
      </c>
      <c r="J957">
        <v>1353823200</v>
      </c>
      <c r="K957">
        <v>1353996000</v>
      </c>
      <c r="L957" t="b">
        <v>0</v>
      </c>
      <c r="M957" t="b">
        <v>0</v>
      </c>
      <c r="N957" t="s">
        <v>33</v>
      </c>
    </row>
    <row r="958" spans="1:14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t="s">
        <v>14</v>
      </c>
      <c r="G958">
        <v>830</v>
      </c>
      <c r="H958" t="s">
        <v>21</v>
      </c>
      <c r="I958" t="s">
        <v>22</v>
      </c>
      <c r="J958">
        <v>1450764000</v>
      </c>
      <c r="K958">
        <v>1451109600</v>
      </c>
      <c r="L958" t="b">
        <v>0</v>
      </c>
      <c r="M958" t="b">
        <v>0</v>
      </c>
      <c r="N958" t="s">
        <v>474</v>
      </c>
    </row>
    <row r="959" spans="1:14" ht="17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t="s">
        <v>20</v>
      </c>
      <c r="G959">
        <v>131</v>
      </c>
      <c r="H959" t="s">
        <v>21</v>
      </c>
      <c r="I959" t="s">
        <v>22</v>
      </c>
      <c r="J959">
        <v>1329372000</v>
      </c>
      <c r="K959">
        <v>1329631200</v>
      </c>
      <c r="L959" t="b">
        <v>0</v>
      </c>
      <c r="M959" t="b">
        <v>0</v>
      </c>
      <c r="N959" t="s">
        <v>33</v>
      </c>
    </row>
    <row r="960" spans="1:14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t="s">
        <v>20</v>
      </c>
      <c r="G960">
        <v>112</v>
      </c>
      <c r="H960" t="s">
        <v>21</v>
      </c>
      <c r="I960" t="s">
        <v>22</v>
      </c>
      <c r="J960">
        <v>1277096400</v>
      </c>
      <c r="K960">
        <v>1278997200</v>
      </c>
      <c r="L960" t="b">
        <v>0</v>
      </c>
      <c r="M960" t="b">
        <v>0</v>
      </c>
      <c r="N960" t="s">
        <v>71</v>
      </c>
    </row>
    <row r="961" spans="1:14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t="s">
        <v>14</v>
      </c>
      <c r="G961">
        <v>130</v>
      </c>
      <c r="H961" t="s">
        <v>21</v>
      </c>
      <c r="I961" t="s">
        <v>22</v>
      </c>
      <c r="J961">
        <v>1277701200</v>
      </c>
      <c r="K961">
        <v>1280120400</v>
      </c>
      <c r="L961" t="b">
        <v>0</v>
      </c>
      <c r="M961" t="b">
        <v>0</v>
      </c>
      <c r="N961" t="s">
        <v>206</v>
      </c>
    </row>
    <row r="962" spans="1:14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t="s">
        <v>14</v>
      </c>
      <c r="G962">
        <v>55</v>
      </c>
      <c r="H962" t="s">
        <v>21</v>
      </c>
      <c r="I962" t="s">
        <v>22</v>
      </c>
      <c r="J962">
        <v>1454911200</v>
      </c>
      <c r="K962">
        <v>1458104400</v>
      </c>
      <c r="L962" t="b">
        <v>0</v>
      </c>
      <c r="M962" t="b">
        <v>0</v>
      </c>
      <c r="N962" t="s">
        <v>28</v>
      </c>
    </row>
    <row r="963" spans="1:14" ht="34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t="s">
        <v>20</v>
      </c>
      <c r="G963">
        <v>155</v>
      </c>
      <c r="H963" t="s">
        <v>21</v>
      </c>
      <c r="I963" t="s">
        <v>22</v>
      </c>
      <c r="J963">
        <v>1297922400</v>
      </c>
      <c r="K963">
        <v>1298268000</v>
      </c>
      <c r="L963" t="b">
        <v>0</v>
      </c>
      <c r="M963" t="b">
        <v>0</v>
      </c>
      <c r="N963" t="s">
        <v>206</v>
      </c>
    </row>
    <row r="964" spans="1:14" ht="17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t="s">
        <v>20</v>
      </c>
      <c r="G964">
        <v>266</v>
      </c>
      <c r="H964" t="s">
        <v>21</v>
      </c>
      <c r="I964" t="s">
        <v>22</v>
      </c>
      <c r="J964">
        <v>1384408800</v>
      </c>
      <c r="K964">
        <v>1386223200</v>
      </c>
      <c r="L964" t="b">
        <v>0</v>
      </c>
      <c r="M964" t="b">
        <v>0</v>
      </c>
      <c r="N964" t="s">
        <v>17</v>
      </c>
    </row>
    <row r="965" spans="1:14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t="s">
        <v>14</v>
      </c>
      <c r="G965">
        <v>114</v>
      </c>
      <c r="H965" t="s">
        <v>107</v>
      </c>
      <c r="I965" t="s">
        <v>108</v>
      </c>
      <c r="J965">
        <v>1299304800</v>
      </c>
      <c r="K965">
        <v>1299823200</v>
      </c>
      <c r="L965" t="b">
        <v>0</v>
      </c>
      <c r="M965" t="b">
        <v>1</v>
      </c>
      <c r="N965" t="s">
        <v>122</v>
      </c>
    </row>
    <row r="966" spans="1:14" ht="17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t="s">
        <v>20</v>
      </c>
      <c r="G966">
        <v>155</v>
      </c>
      <c r="H966" t="s">
        <v>21</v>
      </c>
      <c r="I966" t="s">
        <v>22</v>
      </c>
      <c r="J966">
        <v>1431320400</v>
      </c>
      <c r="K966">
        <v>1431752400</v>
      </c>
      <c r="L966" t="b">
        <v>0</v>
      </c>
      <c r="M966" t="b">
        <v>0</v>
      </c>
      <c r="N966" t="s">
        <v>33</v>
      </c>
    </row>
    <row r="967" spans="1:14" ht="17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t="s">
        <v>20</v>
      </c>
      <c r="G967">
        <v>207</v>
      </c>
      <c r="H967" t="s">
        <v>40</v>
      </c>
      <c r="I967" t="s">
        <v>41</v>
      </c>
      <c r="J967">
        <v>1264399200</v>
      </c>
      <c r="K967">
        <v>1267855200</v>
      </c>
      <c r="L967" t="b">
        <v>0</v>
      </c>
      <c r="M967" t="b">
        <v>0</v>
      </c>
      <c r="N967" t="s">
        <v>23</v>
      </c>
    </row>
    <row r="968" spans="1:14" ht="17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t="s">
        <v>20</v>
      </c>
      <c r="G968">
        <v>245</v>
      </c>
      <c r="H968" t="s">
        <v>21</v>
      </c>
      <c r="I968" t="s">
        <v>22</v>
      </c>
      <c r="J968">
        <v>1497502800</v>
      </c>
      <c r="K968">
        <v>1497675600</v>
      </c>
      <c r="L968" t="b">
        <v>0</v>
      </c>
      <c r="M968" t="b">
        <v>0</v>
      </c>
      <c r="N968" t="s">
        <v>33</v>
      </c>
    </row>
    <row r="969" spans="1:14" ht="17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t="s">
        <v>20</v>
      </c>
      <c r="G969">
        <v>1573</v>
      </c>
      <c r="H969" t="s">
        <v>21</v>
      </c>
      <c r="I969" t="s">
        <v>22</v>
      </c>
      <c r="J969">
        <v>1333688400</v>
      </c>
      <c r="K969">
        <v>1336885200</v>
      </c>
      <c r="L969" t="b">
        <v>0</v>
      </c>
      <c r="M969" t="b">
        <v>0</v>
      </c>
      <c r="N969" t="s">
        <v>319</v>
      </c>
    </row>
    <row r="970" spans="1:14" ht="34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t="s">
        <v>20</v>
      </c>
      <c r="G970">
        <v>114</v>
      </c>
      <c r="H970" t="s">
        <v>21</v>
      </c>
      <c r="I970" t="s">
        <v>22</v>
      </c>
      <c r="J970">
        <v>1293861600</v>
      </c>
      <c r="K970">
        <v>1295157600</v>
      </c>
      <c r="L970" t="b">
        <v>0</v>
      </c>
      <c r="M970" t="b">
        <v>0</v>
      </c>
      <c r="N970" t="s">
        <v>17</v>
      </c>
    </row>
    <row r="971" spans="1:14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t="s">
        <v>20</v>
      </c>
      <c r="G971">
        <v>93</v>
      </c>
      <c r="H971" t="s">
        <v>21</v>
      </c>
      <c r="I971" t="s">
        <v>22</v>
      </c>
      <c r="J971">
        <v>1576994400</v>
      </c>
      <c r="K971">
        <v>1577599200</v>
      </c>
      <c r="L971" t="b">
        <v>0</v>
      </c>
      <c r="M971" t="b">
        <v>0</v>
      </c>
      <c r="N971" t="s">
        <v>33</v>
      </c>
    </row>
    <row r="972" spans="1:14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t="s">
        <v>14</v>
      </c>
      <c r="G972">
        <v>594</v>
      </c>
      <c r="H972" t="s">
        <v>21</v>
      </c>
      <c r="I972" t="s">
        <v>22</v>
      </c>
      <c r="J972">
        <v>1304917200</v>
      </c>
      <c r="K972">
        <v>1305003600</v>
      </c>
      <c r="L972" t="b">
        <v>0</v>
      </c>
      <c r="M972" t="b">
        <v>0</v>
      </c>
      <c r="N972" t="s">
        <v>33</v>
      </c>
    </row>
    <row r="973" spans="1:14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t="s">
        <v>14</v>
      </c>
      <c r="G973">
        <v>24</v>
      </c>
      <c r="H973" t="s">
        <v>21</v>
      </c>
      <c r="I973" t="s">
        <v>22</v>
      </c>
      <c r="J973">
        <v>1381208400</v>
      </c>
      <c r="K973">
        <v>1381726800</v>
      </c>
      <c r="L973" t="b">
        <v>0</v>
      </c>
      <c r="M973" t="b">
        <v>0</v>
      </c>
      <c r="N973" t="s">
        <v>269</v>
      </c>
    </row>
    <row r="974" spans="1:14" ht="34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t="s">
        <v>20</v>
      </c>
      <c r="G974">
        <v>1681</v>
      </c>
      <c r="H974" t="s">
        <v>21</v>
      </c>
      <c r="I974" t="s">
        <v>22</v>
      </c>
      <c r="J974">
        <v>1401685200</v>
      </c>
      <c r="K974">
        <v>1402462800</v>
      </c>
      <c r="L974" t="b">
        <v>0</v>
      </c>
      <c r="M974" t="b">
        <v>1</v>
      </c>
      <c r="N974" t="s">
        <v>28</v>
      </c>
    </row>
    <row r="975" spans="1:14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t="s">
        <v>14</v>
      </c>
      <c r="G975">
        <v>252</v>
      </c>
      <c r="H975" t="s">
        <v>21</v>
      </c>
      <c r="I975" t="s">
        <v>22</v>
      </c>
      <c r="J975">
        <v>1291960800</v>
      </c>
      <c r="K975">
        <v>1292133600</v>
      </c>
      <c r="L975" t="b">
        <v>0</v>
      </c>
      <c r="M975" t="b">
        <v>1</v>
      </c>
      <c r="N975" t="s">
        <v>33</v>
      </c>
    </row>
    <row r="976" spans="1:14" ht="17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t="s">
        <v>20</v>
      </c>
      <c r="G976">
        <v>32</v>
      </c>
      <c r="H976" t="s">
        <v>21</v>
      </c>
      <c r="I976" t="s">
        <v>22</v>
      </c>
      <c r="J976">
        <v>1368853200</v>
      </c>
      <c r="K976">
        <v>1368939600</v>
      </c>
      <c r="L976" t="b">
        <v>0</v>
      </c>
      <c r="M976" t="b">
        <v>0</v>
      </c>
      <c r="N976" t="s">
        <v>60</v>
      </c>
    </row>
    <row r="977" spans="1:14" ht="17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t="s">
        <v>20</v>
      </c>
      <c r="G977">
        <v>135</v>
      </c>
      <c r="H977" t="s">
        <v>21</v>
      </c>
      <c r="I977" t="s">
        <v>22</v>
      </c>
      <c r="J977">
        <v>1448776800</v>
      </c>
      <c r="K977">
        <v>1452146400</v>
      </c>
      <c r="L977" t="b">
        <v>0</v>
      </c>
      <c r="M977" t="b">
        <v>1</v>
      </c>
      <c r="N977" t="s">
        <v>33</v>
      </c>
    </row>
    <row r="978" spans="1:14" ht="34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t="s">
        <v>20</v>
      </c>
      <c r="G978">
        <v>140</v>
      </c>
      <c r="H978" t="s">
        <v>21</v>
      </c>
      <c r="I978" t="s">
        <v>22</v>
      </c>
      <c r="J978">
        <v>1296194400</v>
      </c>
      <c r="K978">
        <v>1296712800</v>
      </c>
      <c r="L978" t="b">
        <v>0</v>
      </c>
      <c r="M978" t="b">
        <v>1</v>
      </c>
      <c r="N978" t="s">
        <v>33</v>
      </c>
    </row>
    <row r="979" spans="1:14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t="s">
        <v>14</v>
      </c>
      <c r="G979">
        <v>67</v>
      </c>
      <c r="H979" t="s">
        <v>21</v>
      </c>
      <c r="I979" t="s">
        <v>22</v>
      </c>
      <c r="J979">
        <v>1517983200</v>
      </c>
      <c r="K979">
        <v>1520748000</v>
      </c>
      <c r="L979" t="b">
        <v>0</v>
      </c>
      <c r="M979" t="b">
        <v>0</v>
      </c>
      <c r="N979" t="s">
        <v>17</v>
      </c>
    </row>
    <row r="980" spans="1:14" ht="17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t="s">
        <v>20</v>
      </c>
      <c r="G980">
        <v>92</v>
      </c>
      <c r="H980" t="s">
        <v>21</v>
      </c>
      <c r="I980" t="s">
        <v>22</v>
      </c>
      <c r="J980">
        <v>1478930400</v>
      </c>
      <c r="K980">
        <v>1480831200</v>
      </c>
      <c r="L980" t="b">
        <v>0</v>
      </c>
      <c r="M980" t="b">
        <v>0</v>
      </c>
      <c r="N980" t="s">
        <v>89</v>
      </c>
    </row>
    <row r="981" spans="1:14" ht="17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t="s">
        <v>20</v>
      </c>
      <c r="G981">
        <v>1015</v>
      </c>
      <c r="H981" t="s">
        <v>40</v>
      </c>
      <c r="I981" t="s">
        <v>41</v>
      </c>
      <c r="J981">
        <v>1426395600</v>
      </c>
      <c r="K981">
        <v>1426914000</v>
      </c>
      <c r="L981" t="b">
        <v>0</v>
      </c>
      <c r="M981" t="b">
        <v>0</v>
      </c>
      <c r="N981" t="s">
        <v>33</v>
      </c>
    </row>
    <row r="982" spans="1:14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t="s">
        <v>14</v>
      </c>
      <c r="G982">
        <v>742</v>
      </c>
      <c r="H982" t="s">
        <v>21</v>
      </c>
      <c r="I982" t="s">
        <v>22</v>
      </c>
      <c r="J982">
        <v>1446181200</v>
      </c>
      <c r="K982">
        <v>1446616800</v>
      </c>
      <c r="L982" t="b">
        <v>1</v>
      </c>
      <c r="M982" t="b">
        <v>0</v>
      </c>
      <c r="N982" t="s">
        <v>68</v>
      </c>
    </row>
    <row r="983" spans="1:14" ht="17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t="s">
        <v>20</v>
      </c>
      <c r="G983">
        <v>323</v>
      </c>
      <c r="H983" t="s">
        <v>21</v>
      </c>
      <c r="I983" t="s">
        <v>22</v>
      </c>
      <c r="J983">
        <v>1514181600</v>
      </c>
      <c r="K983">
        <v>1517032800</v>
      </c>
      <c r="L983" t="b">
        <v>0</v>
      </c>
      <c r="M983" t="b">
        <v>0</v>
      </c>
      <c r="N983" t="s">
        <v>28</v>
      </c>
    </row>
    <row r="984" spans="1:14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t="s">
        <v>14</v>
      </c>
      <c r="G984">
        <v>75</v>
      </c>
      <c r="H984" t="s">
        <v>21</v>
      </c>
      <c r="I984" t="s">
        <v>22</v>
      </c>
      <c r="J984">
        <v>1311051600</v>
      </c>
      <c r="K984">
        <v>1311224400</v>
      </c>
      <c r="L984" t="b">
        <v>0</v>
      </c>
      <c r="M984" t="b">
        <v>1</v>
      </c>
      <c r="N984" t="s">
        <v>42</v>
      </c>
    </row>
    <row r="985" spans="1:14" ht="17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t="s">
        <v>20</v>
      </c>
      <c r="G985">
        <v>2326</v>
      </c>
      <c r="H985" t="s">
        <v>21</v>
      </c>
      <c r="I985" t="s">
        <v>22</v>
      </c>
      <c r="J985">
        <v>1564894800</v>
      </c>
      <c r="K985">
        <v>1566190800</v>
      </c>
      <c r="L985" t="b">
        <v>0</v>
      </c>
      <c r="M985" t="b">
        <v>0</v>
      </c>
      <c r="N985" t="s">
        <v>42</v>
      </c>
    </row>
    <row r="986" spans="1:14" ht="34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t="s">
        <v>20</v>
      </c>
      <c r="G986">
        <v>381</v>
      </c>
      <c r="H986" t="s">
        <v>21</v>
      </c>
      <c r="I986" t="s">
        <v>22</v>
      </c>
      <c r="J986">
        <v>1567918800</v>
      </c>
      <c r="K986">
        <v>1570165200</v>
      </c>
      <c r="L986" t="b">
        <v>0</v>
      </c>
      <c r="M986" t="b">
        <v>0</v>
      </c>
      <c r="N986" t="s">
        <v>33</v>
      </c>
    </row>
    <row r="987" spans="1:14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t="s">
        <v>14</v>
      </c>
      <c r="G987">
        <v>4405</v>
      </c>
      <c r="H987" t="s">
        <v>21</v>
      </c>
      <c r="I987" t="s">
        <v>22</v>
      </c>
      <c r="J987">
        <v>1386309600</v>
      </c>
      <c r="K987">
        <v>1388556000</v>
      </c>
      <c r="L987" t="b">
        <v>0</v>
      </c>
      <c r="M987" t="b">
        <v>1</v>
      </c>
      <c r="N987" t="s">
        <v>23</v>
      </c>
    </row>
    <row r="988" spans="1:14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t="s">
        <v>14</v>
      </c>
      <c r="G988">
        <v>92</v>
      </c>
      <c r="H988" t="s">
        <v>21</v>
      </c>
      <c r="I988" t="s">
        <v>22</v>
      </c>
      <c r="J988">
        <v>1301979600</v>
      </c>
      <c r="K988">
        <v>1303189200</v>
      </c>
      <c r="L988" t="b">
        <v>0</v>
      </c>
      <c r="M988" t="b">
        <v>0</v>
      </c>
      <c r="N988" t="s">
        <v>23</v>
      </c>
    </row>
    <row r="989" spans="1:14" ht="17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t="s">
        <v>20</v>
      </c>
      <c r="G989">
        <v>480</v>
      </c>
      <c r="H989" t="s">
        <v>21</v>
      </c>
      <c r="I989" t="s">
        <v>22</v>
      </c>
      <c r="J989">
        <v>1493269200</v>
      </c>
      <c r="K989">
        <v>1494478800</v>
      </c>
      <c r="L989" t="b">
        <v>0</v>
      </c>
      <c r="M989" t="b">
        <v>0</v>
      </c>
      <c r="N989" t="s">
        <v>42</v>
      </c>
    </row>
    <row r="990" spans="1:14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t="s">
        <v>14</v>
      </c>
      <c r="G990">
        <v>64</v>
      </c>
      <c r="H990" t="s">
        <v>21</v>
      </c>
      <c r="I990" t="s">
        <v>22</v>
      </c>
      <c r="J990">
        <v>1478930400</v>
      </c>
      <c r="K990">
        <v>1480744800</v>
      </c>
      <c r="L990" t="b">
        <v>0</v>
      </c>
      <c r="M990" t="b">
        <v>0</v>
      </c>
      <c r="N990" t="s">
        <v>133</v>
      </c>
    </row>
    <row r="991" spans="1:14" ht="17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t="s">
        <v>20</v>
      </c>
      <c r="G991">
        <v>226</v>
      </c>
      <c r="H991" t="s">
        <v>21</v>
      </c>
      <c r="I991" t="s">
        <v>22</v>
      </c>
      <c r="J991">
        <v>1555390800</v>
      </c>
      <c r="K991">
        <v>1555822800</v>
      </c>
      <c r="L991" t="b">
        <v>0</v>
      </c>
      <c r="M991" t="b">
        <v>0</v>
      </c>
      <c r="N991" t="s">
        <v>206</v>
      </c>
    </row>
    <row r="992" spans="1:14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t="s">
        <v>14</v>
      </c>
      <c r="G992">
        <v>64</v>
      </c>
      <c r="H992" t="s">
        <v>21</v>
      </c>
      <c r="I992" t="s">
        <v>22</v>
      </c>
      <c r="J992">
        <v>1456984800</v>
      </c>
      <c r="K992">
        <v>1458882000</v>
      </c>
      <c r="L992" t="b">
        <v>0</v>
      </c>
      <c r="M992" t="b">
        <v>1</v>
      </c>
      <c r="N992" t="s">
        <v>53</v>
      </c>
    </row>
    <row r="993" spans="1:14" ht="17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t="s">
        <v>20</v>
      </c>
      <c r="G993">
        <v>241</v>
      </c>
      <c r="H993" t="s">
        <v>21</v>
      </c>
      <c r="I993" t="s">
        <v>22</v>
      </c>
      <c r="J993">
        <v>1411621200</v>
      </c>
      <c r="K993">
        <v>1411966800</v>
      </c>
      <c r="L993" t="b">
        <v>0</v>
      </c>
      <c r="M993" t="b">
        <v>1</v>
      </c>
      <c r="N993" t="s">
        <v>23</v>
      </c>
    </row>
    <row r="994" spans="1:14" ht="17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t="s">
        <v>20</v>
      </c>
      <c r="G994">
        <v>132</v>
      </c>
      <c r="H994" t="s">
        <v>21</v>
      </c>
      <c r="I994" t="s">
        <v>22</v>
      </c>
      <c r="J994">
        <v>1525669200</v>
      </c>
      <c r="K994">
        <v>1526878800</v>
      </c>
      <c r="L994" t="b">
        <v>0</v>
      </c>
      <c r="M994" t="b">
        <v>1</v>
      </c>
      <c r="N994" t="s">
        <v>53</v>
      </c>
    </row>
    <row r="995" spans="1:14" ht="17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t="s">
        <v>74</v>
      </c>
      <c r="G995">
        <v>75</v>
      </c>
      <c r="H995" t="s">
        <v>107</v>
      </c>
      <c r="I995" t="s">
        <v>108</v>
      </c>
      <c r="J995">
        <v>1450936800</v>
      </c>
      <c r="K995">
        <v>1452405600</v>
      </c>
      <c r="L995" t="b">
        <v>0</v>
      </c>
      <c r="M995" t="b">
        <v>1</v>
      </c>
      <c r="N995" t="s">
        <v>122</v>
      </c>
    </row>
    <row r="996" spans="1:14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t="s">
        <v>14</v>
      </c>
      <c r="G996">
        <v>842</v>
      </c>
      <c r="H996" t="s">
        <v>21</v>
      </c>
      <c r="I996" t="s">
        <v>22</v>
      </c>
      <c r="J996">
        <v>1413522000</v>
      </c>
      <c r="K996">
        <v>1414040400</v>
      </c>
      <c r="L996" t="b">
        <v>0</v>
      </c>
      <c r="M996" t="b">
        <v>1</v>
      </c>
      <c r="N996" t="s">
        <v>206</v>
      </c>
    </row>
    <row r="997" spans="1:14" ht="17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t="s">
        <v>20</v>
      </c>
      <c r="G997">
        <v>2043</v>
      </c>
      <c r="H997" t="s">
        <v>21</v>
      </c>
      <c r="I997" t="s">
        <v>22</v>
      </c>
      <c r="J997">
        <v>1541307600</v>
      </c>
      <c r="K997">
        <v>1543816800</v>
      </c>
      <c r="L997" t="b">
        <v>0</v>
      </c>
      <c r="M997" t="b">
        <v>1</v>
      </c>
      <c r="N997" t="s">
        <v>17</v>
      </c>
    </row>
    <row r="998" spans="1:14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t="s">
        <v>14</v>
      </c>
      <c r="G998">
        <v>112</v>
      </c>
      <c r="H998" t="s">
        <v>21</v>
      </c>
      <c r="I998" t="s">
        <v>22</v>
      </c>
      <c r="J998">
        <v>1357106400</v>
      </c>
      <c r="K998">
        <v>1359698400</v>
      </c>
      <c r="L998" t="b">
        <v>0</v>
      </c>
      <c r="M998" t="b">
        <v>0</v>
      </c>
      <c r="N998" t="s">
        <v>33</v>
      </c>
    </row>
    <row r="999" spans="1:14" ht="17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t="s">
        <v>74</v>
      </c>
      <c r="G999">
        <v>139</v>
      </c>
      <c r="H999" t="s">
        <v>107</v>
      </c>
      <c r="I999" t="s">
        <v>108</v>
      </c>
      <c r="J999">
        <v>1390197600</v>
      </c>
      <c r="K999">
        <v>1390629600</v>
      </c>
      <c r="L999" t="b">
        <v>0</v>
      </c>
      <c r="M999" t="b">
        <v>0</v>
      </c>
      <c r="N999" t="s">
        <v>33</v>
      </c>
    </row>
    <row r="1000" spans="1:14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>
        <v>374</v>
      </c>
      <c r="H1000" t="s">
        <v>21</v>
      </c>
      <c r="I1000" t="s">
        <v>22</v>
      </c>
      <c r="J1000">
        <v>1265868000</v>
      </c>
      <c r="K1000">
        <v>1267077600</v>
      </c>
      <c r="L1000" t="b">
        <v>0</v>
      </c>
      <c r="M1000" t="b">
        <v>1</v>
      </c>
      <c r="N1000" t="s">
        <v>60</v>
      </c>
    </row>
    <row r="1001" spans="1:14" ht="17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>
        <v>1122</v>
      </c>
      <c r="H1001" t="s">
        <v>21</v>
      </c>
      <c r="I1001" t="s">
        <v>22</v>
      </c>
      <c r="J1001">
        <v>1467176400</v>
      </c>
      <c r="K1001">
        <v>1467781200</v>
      </c>
      <c r="L1001" t="b">
        <v>0</v>
      </c>
      <c r="M1001" t="b">
        <v>0</v>
      </c>
      <c r="N1001" t="s">
        <v>17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C731D-33C7-184F-9196-D6B489E411C0}">
  <sheetPr>
    <tabColor rgb="FFFFFF00"/>
  </sheetPr>
  <dimension ref="A2:E15"/>
  <sheetViews>
    <sheetView topLeftCell="B1" workbookViewId="0">
      <selection activeCell="G24" sqref="G24"/>
    </sheetView>
  </sheetViews>
  <sheetFormatPr baseColWidth="10" defaultRowHeight="16" x14ac:dyDescent="0.2"/>
  <cols>
    <col min="1" max="1" width="23.6640625" bestFit="1" customWidth="1"/>
    <col min="2" max="2" width="15.5" bestFit="1" customWidth="1"/>
    <col min="3" max="6" width="12.1640625" bestFit="1" customWidth="1"/>
    <col min="7" max="13" width="9.5" bestFit="1" customWidth="1"/>
    <col min="14" max="14" width="11.33203125" bestFit="1" customWidth="1"/>
    <col min="15" max="15" width="12" bestFit="1" customWidth="1"/>
    <col min="16" max="16" width="14.5" bestFit="1" customWidth="1"/>
    <col min="17" max="19" width="9.5" bestFit="1" customWidth="1"/>
    <col min="20" max="20" width="10.6640625" bestFit="1" customWidth="1"/>
    <col min="21" max="24" width="13.6640625" bestFit="1" customWidth="1"/>
    <col min="25" max="25" width="16.33203125" bestFit="1" customWidth="1"/>
    <col min="26" max="29" width="11.6640625" bestFit="1" customWidth="1"/>
    <col min="30" max="30" width="14.1640625" bestFit="1" customWidth="1"/>
    <col min="31" max="34" width="12.33203125" bestFit="1" customWidth="1"/>
    <col min="35" max="35" width="14.83203125" bestFit="1" customWidth="1"/>
    <col min="36" max="39" width="9.5" bestFit="1" customWidth="1"/>
    <col min="40" max="40" width="11.83203125" bestFit="1" customWidth="1"/>
  </cols>
  <sheetData>
    <row r="2" spans="1:5" x14ac:dyDescent="0.2">
      <c r="A2" s="6" t="s">
        <v>6</v>
      </c>
      <c r="B2" t="s">
        <v>2046</v>
      </c>
    </row>
    <row r="4" spans="1:5" x14ac:dyDescent="0.2">
      <c r="A4" s="6" t="s">
        <v>2112</v>
      </c>
      <c r="B4" s="6" t="s">
        <v>2045</v>
      </c>
    </row>
    <row r="5" spans="1:5" x14ac:dyDescent="0.2">
      <c r="A5" s="6" t="s">
        <v>2034</v>
      </c>
      <c r="B5" t="s">
        <v>74</v>
      </c>
      <c r="C5" t="s">
        <v>14</v>
      </c>
      <c r="D5" t="s">
        <v>20</v>
      </c>
      <c r="E5" t="s">
        <v>2044</v>
      </c>
    </row>
    <row r="6" spans="1:5" x14ac:dyDescent="0.2">
      <c r="A6" s="7" t="s">
        <v>2035</v>
      </c>
      <c r="B6">
        <v>45.85799796217691</v>
      </c>
      <c r="C6">
        <v>51.656023819084616</v>
      </c>
      <c r="D6">
        <v>303.80112947720795</v>
      </c>
      <c r="E6">
        <v>199.95095152256789</v>
      </c>
    </row>
    <row r="7" spans="1:5" x14ac:dyDescent="0.2">
      <c r="A7" s="7" t="s">
        <v>2036</v>
      </c>
      <c r="B7">
        <v>50.408392077792946</v>
      </c>
      <c r="C7">
        <v>49.629510452741059</v>
      </c>
      <c r="D7">
        <v>392.71729296190188</v>
      </c>
      <c r="E7">
        <v>213.78270048973548</v>
      </c>
    </row>
    <row r="8" spans="1:5" x14ac:dyDescent="0.2">
      <c r="A8" s="7" t="s">
        <v>2037</v>
      </c>
      <c r="B8">
        <v>27.176538240368028</v>
      </c>
      <c r="C8">
        <v>51.149586294800557</v>
      </c>
      <c r="D8">
        <v>423.27344936844281</v>
      </c>
      <c r="E8">
        <v>224.27465466129067</v>
      </c>
    </row>
    <row r="9" spans="1:5" x14ac:dyDescent="0.2">
      <c r="A9" s="7" t="s">
        <v>2038</v>
      </c>
      <c r="D9">
        <v>150.62984968701983</v>
      </c>
      <c r="E9">
        <v>150.62984968701983</v>
      </c>
    </row>
    <row r="10" spans="1:5" x14ac:dyDescent="0.2">
      <c r="A10" s="7" t="s">
        <v>2039</v>
      </c>
      <c r="B10">
        <v>38.49863251167708</v>
      </c>
      <c r="C10">
        <v>45.803202584347162</v>
      </c>
      <c r="D10">
        <v>329.37500761376879</v>
      </c>
      <c r="E10">
        <v>205.80641971112456</v>
      </c>
    </row>
    <row r="11" spans="1:5" x14ac:dyDescent="0.2">
      <c r="A11" s="7" t="s">
        <v>2040</v>
      </c>
      <c r="B11">
        <v>61.272046992048708</v>
      </c>
      <c r="C11">
        <v>46.863594731884497</v>
      </c>
      <c r="D11">
        <v>268.191329938487</v>
      </c>
      <c r="E11">
        <v>188.62347093706308</v>
      </c>
    </row>
    <row r="12" spans="1:5" x14ac:dyDescent="0.2">
      <c r="A12" s="7" t="s">
        <v>2041</v>
      </c>
      <c r="B12">
        <v>35.870274170274172</v>
      </c>
      <c r="C12">
        <v>42.24918012947569</v>
      </c>
      <c r="D12">
        <v>298.00017357431005</v>
      </c>
      <c r="E12">
        <v>197.05648203667221</v>
      </c>
    </row>
    <row r="13" spans="1:5" x14ac:dyDescent="0.2">
      <c r="A13" s="7" t="s">
        <v>2042</v>
      </c>
      <c r="B13">
        <v>64.476190476190482</v>
      </c>
      <c r="C13">
        <v>56.331660501443309</v>
      </c>
      <c r="D13">
        <v>309.89553919206651</v>
      </c>
      <c r="E13">
        <v>229.14418492856441</v>
      </c>
    </row>
    <row r="14" spans="1:5" x14ac:dyDescent="0.2">
      <c r="A14" s="7" t="s">
        <v>2043</v>
      </c>
      <c r="B14">
        <v>45.757574357593974</v>
      </c>
      <c r="C14">
        <v>49.562153234302237</v>
      </c>
      <c r="D14">
        <v>314.46430649443374</v>
      </c>
      <c r="E14">
        <v>194.15044956611587</v>
      </c>
    </row>
    <row r="15" spans="1:5" x14ac:dyDescent="0.2">
      <c r="A15" s="7" t="s">
        <v>2044</v>
      </c>
      <c r="B15">
        <v>45.902451521720018</v>
      </c>
      <c r="C15">
        <v>49.286741977125502</v>
      </c>
      <c r="D15">
        <v>317.27080457559288</v>
      </c>
      <c r="E15">
        <v>202.6519456405899</v>
      </c>
    </row>
  </sheetData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FC7C8-4C9B-4E4B-A862-63A250963574}">
  <sheetPr>
    <tabColor rgb="FFFFFF00"/>
  </sheetPr>
  <dimension ref="A2:E15"/>
  <sheetViews>
    <sheetView workbookViewId="0">
      <selection activeCell="O9" sqref="O9"/>
    </sheetView>
  </sheetViews>
  <sheetFormatPr baseColWidth="10" defaultRowHeight="16" x14ac:dyDescent="0.2"/>
  <cols>
    <col min="1" max="1" width="14.1640625" bestFit="1" customWidth="1"/>
    <col min="2" max="2" width="15.5" bestFit="1" customWidth="1"/>
    <col min="3" max="5" width="12.1640625" bestFit="1" customWidth="1"/>
    <col min="6" max="6" width="14" bestFit="1" customWidth="1"/>
    <col min="7" max="7" width="11" bestFit="1" customWidth="1"/>
    <col min="8" max="8" width="18.83203125" bestFit="1" customWidth="1"/>
    <col min="9" max="9" width="15.6640625" bestFit="1" customWidth="1"/>
    <col min="10" max="13" width="9.5" bestFit="1" customWidth="1"/>
    <col min="14" max="14" width="11.33203125" bestFit="1" customWidth="1"/>
    <col min="15" max="15" width="12" bestFit="1" customWidth="1"/>
    <col min="16" max="16" width="14.5" bestFit="1" customWidth="1"/>
    <col min="17" max="19" width="9.5" bestFit="1" customWidth="1"/>
    <col min="20" max="20" width="10.6640625" bestFit="1" customWidth="1"/>
    <col min="21" max="24" width="13.6640625" bestFit="1" customWidth="1"/>
    <col min="25" max="25" width="16.33203125" bestFit="1" customWidth="1"/>
    <col min="26" max="29" width="11.6640625" bestFit="1" customWidth="1"/>
    <col min="30" max="30" width="14.1640625" bestFit="1" customWidth="1"/>
    <col min="31" max="34" width="12.33203125" bestFit="1" customWidth="1"/>
    <col min="35" max="35" width="14.83203125" bestFit="1" customWidth="1"/>
    <col min="36" max="39" width="9.5" bestFit="1" customWidth="1"/>
    <col min="40" max="40" width="11.83203125" bestFit="1" customWidth="1"/>
  </cols>
  <sheetData>
    <row r="2" spans="1:5" x14ac:dyDescent="0.2">
      <c r="A2" s="6" t="s">
        <v>6</v>
      </c>
      <c r="B2" t="s">
        <v>21</v>
      </c>
    </row>
    <row r="4" spans="1:5" x14ac:dyDescent="0.2">
      <c r="A4" s="6" t="s">
        <v>2117</v>
      </c>
      <c r="B4" s="6" t="s">
        <v>2045</v>
      </c>
    </row>
    <row r="5" spans="1:5" x14ac:dyDescent="0.2">
      <c r="A5" s="6" t="s">
        <v>2034</v>
      </c>
      <c r="B5" t="s">
        <v>74</v>
      </c>
      <c r="C5" t="s">
        <v>14</v>
      </c>
      <c r="D5" t="s">
        <v>20</v>
      </c>
      <c r="E5" t="s">
        <v>2044</v>
      </c>
    </row>
    <row r="6" spans="1:5" x14ac:dyDescent="0.2">
      <c r="A6" s="7" t="s">
        <v>2035</v>
      </c>
      <c r="B6">
        <v>102940</v>
      </c>
      <c r="C6">
        <v>67521.951219512193</v>
      </c>
      <c r="D6">
        <v>26053.947368421053</v>
      </c>
      <c r="E6">
        <v>45495.27559055118</v>
      </c>
    </row>
    <row r="7" spans="1:5" x14ac:dyDescent="0.2">
      <c r="A7" s="7" t="s">
        <v>2036</v>
      </c>
      <c r="B7">
        <v>72666.666666666672</v>
      </c>
      <c r="C7">
        <v>67840</v>
      </c>
      <c r="D7">
        <v>20182.352941176472</v>
      </c>
      <c r="E7">
        <v>45105.714285714283</v>
      </c>
    </row>
    <row r="8" spans="1:5" x14ac:dyDescent="0.2">
      <c r="A8" s="7" t="s">
        <v>2037</v>
      </c>
      <c r="B8">
        <v>173900</v>
      </c>
      <c r="C8">
        <v>77610</v>
      </c>
      <c r="D8">
        <v>23800</v>
      </c>
      <c r="E8">
        <v>58837.142857142855</v>
      </c>
    </row>
    <row r="9" spans="1:5" x14ac:dyDescent="0.2">
      <c r="A9" s="7" t="s">
        <v>2038</v>
      </c>
      <c r="D9">
        <v>6425</v>
      </c>
      <c r="E9">
        <v>6425</v>
      </c>
    </row>
    <row r="10" spans="1:5" x14ac:dyDescent="0.2">
      <c r="A10" s="7" t="s">
        <v>2039</v>
      </c>
      <c r="B10">
        <v>44683.333333333336</v>
      </c>
      <c r="C10">
        <v>65229.545454545456</v>
      </c>
      <c r="D10">
        <v>30231.645569620254</v>
      </c>
      <c r="E10">
        <v>42841.085271317832</v>
      </c>
    </row>
    <row r="11" spans="1:5" x14ac:dyDescent="0.2">
      <c r="A11" s="7" t="s">
        <v>2040</v>
      </c>
      <c r="B11">
        <v>181500</v>
      </c>
      <c r="C11">
        <v>38466.666666666664</v>
      </c>
      <c r="D11">
        <v>15329.166666666666</v>
      </c>
      <c r="E11">
        <v>34642.42424242424</v>
      </c>
    </row>
    <row r="12" spans="1:5" x14ac:dyDescent="0.2">
      <c r="A12" s="7" t="s">
        <v>2041</v>
      </c>
      <c r="B12">
        <v>8350</v>
      </c>
      <c r="C12">
        <v>89183.333333333328</v>
      </c>
      <c r="D12">
        <v>18675</v>
      </c>
      <c r="E12">
        <v>44685.416666666664</v>
      </c>
    </row>
    <row r="13" spans="1:5" x14ac:dyDescent="0.2">
      <c r="A13" s="7" t="s">
        <v>2042</v>
      </c>
      <c r="B13">
        <v>8200</v>
      </c>
      <c r="C13">
        <v>30508.333333333332</v>
      </c>
      <c r="D13">
        <v>21042.222222222223</v>
      </c>
      <c r="E13">
        <v>23880.281690140844</v>
      </c>
    </row>
    <row r="14" spans="1:5" x14ac:dyDescent="0.2">
      <c r="A14" s="7" t="s">
        <v>2043</v>
      </c>
      <c r="B14">
        <v>58170.588235294119</v>
      </c>
      <c r="C14">
        <v>65583.962264150949</v>
      </c>
      <c r="D14">
        <v>28832.214765100671</v>
      </c>
      <c r="E14">
        <v>44988.23529411765</v>
      </c>
    </row>
    <row r="15" spans="1:5" x14ac:dyDescent="0.2">
      <c r="A15" s="7" t="s">
        <v>2044</v>
      </c>
      <c r="B15">
        <v>73997.727272727279</v>
      </c>
      <c r="C15">
        <v>64702.554744525551</v>
      </c>
      <c r="D15">
        <v>25697.477064220184</v>
      </c>
      <c r="E15">
        <v>42690.31830238727</v>
      </c>
    </row>
  </sheetData>
  <pageMargins left="0.7" right="0.7" top="0.75" bottom="0.75" header="0.3" footer="0.3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DF7E0E-3042-4346-996F-BDEB62ABF0AC}">
  <sheetPr>
    <tabColor rgb="FFFFFF00"/>
  </sheetPr>
  <dimension ref="A1:B7"/>
  <sheetViews>
    <sheetView workbookViewId="0">
      <selection activeCell="G24" sqref="G24"/>
    </sheetView>
  </sheetViews>
  <sheetFormatPr baseColWidth="10" defaultRowHeight="16" x14ac:dyDescent="0.2"/>
  <cols>
    <col min="1" max="1" width="13" bestFit="1" customWidth="1"/>
    <col min="2" max="2" width="27.5" bestFit="1" customWidth="1"/>
    <col min="3" max="6" width="12.1640625" bestFit="1" customWidth="1"/>
    <col min="7" max="7" width="24.1640625" bestFit="1" customWidth="1"/>
    <col min="8" max="8" width="15.6640625" bestFit="1" customWidth="1"/>
    <col min="9" max="9" width="24.1640625" bestFit="1" customWidth="1"/>
    <col min="10" max="10" width="20.5" bestFit="1" customWidth="1"/>
    <col min="11" max="11" width="29" bestFit="1" customWidth="1"/>
    <col min="12" max="13" width="9.5" bestFit="1" customWidth="1"/>
    <col min="14" max="14" width="11.33203125" bestFit="1" customWidth="1"/>
    <col min="15" max="15" width="12" bestFit="1" customWidth="1"/>
    <col min="16" max="16" width="14.5" bestFit="1" customWidth="1"/>
    <col min="17" max="19" width="9.5" bestFit="1" customWidth="1"/>
    <col min="20" max="20" width="10.6640625" bestFit="1" customWidth="1"/>
    <col min="21" max="24" width="13.6640625" bestFit="1" customWidth="1"/>
    <col min="25" max="25" width="16.33203125" bestFit="1" customWidth="1"/>
    <col min="26" max="29" width="11.6640625" bestFit="1" customWidth="1"/>
    <col min="30" max="30" width="14.1640625" bestFit="1" customWidth="1"/>
    <col min="31" max="34" width="12.33203125" bestFit="1" customWidth="1"/>
    <col min="35" max="35" width="14.83203125" bestFit="1" customWidth="1"/>
    <col min="36" max="39" width="9.5" bestFit="1" customWidth="1"/>
    <col min="40" max="40" width="11.83203125" bestFit="1" customWidth="1"/>
  </cols>
  <sheetData>
    <row r="1" spans="1:2" x14ac:dyDescent="0.2">
      <c r="A1" s="6" t="s">
        <v>6</v>
      </c>
      <c r="B1" t="s">
        <v>2046</v>
      </c>
    </row>
    <row r="3" spans="1:2" x14ac:dyDescent="0.2">
      <c r="A3" s="6" t="s">
        <v>2034</v>
      </c>
      <c r="B3" t="s">
        <v>2114</v>
      </c>
    </row>
    <row r="4" spans="1:2" x14ac:dyDescent="0.2">
      <c r="A4" s="7" t="s">
        <v>74</v>
      </c>
      <c r="B4">
        <v>16.017543859649123</v>
      </c>
    </row>
    <row r="5" spans="1:2" x14ac:dyDescent="0.2">
      <c r="A5" s="7" t="s">
        <v>14</v>
      </c>
      <c r="B5">
        <v>16.708791208791208</v>
      </c>
    </row>
    <row r="6" spans="1:2" x14ac:dyDescent="0.2">
      <c r="A6" s="7" t="s">
        <v>20</v>
      </c>
      <c r="B6">
        <v>16.130973451327435</v>
      </c>
    </row>
    <row r="7" spans="1:2" x14ac:dyDescent="0.2">
      <c r="A7" s="7" t="s">
        <v>2044</v>
      </c>
      <c r="B7">
        <v>16.337728194726168</v>
      </c>
    </row>
  </sheetData>
  <pageMargins left="0.7" right="0.7" top="0.75" bottom="0.75" header="0.3" footer="0.3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246E3-27E9-2A47-8CFB-2F43B4E8393D}">
  <sheetPr>
    <tabColor rgb="FFFFFF00"/>
  </sheetPr>
  <dimension ref="A1"/>
  <sheetViews>
    <sheetView workbookViewId="0">
      <selection activeCell="L30" sqref="L30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40685-416F-5C4E-94AB-16D1E713AE69}">
  <sheetPr>
    <tabColor rgb="FFFFFF00"/>
  </sheetPr>
  <dimension ref="A1:C7"/>
  <sheetViews>
    <sheetView workbookViewId="0">
      <selection activeCell="P29" sqref="P29"/>
    </sheetView>
  </sheetViews>
  <sheetFormatPr baseColWidth="10" defaultRowHeight="16" x14ac:dyDescent="0.2"/>
  <cols>
    <col min="1" max="1" width="13" bestFit="1" customWidth="1"/>
    <col min="2" max="2" width="22.83203125" bestFit="1" customWidth="1"/>
    <col min="3" max="3" width="25.83203125" bestFit="1" customWidth="1"/>
    <col min="4" max="4" width="4.1640625" bestFit="1" customWidth="1"/>
    <col min="5" max="5" width="9.5" bestFit="1" customWidth="1"/>
    <col min="6" max="6" width="10.83203125" bestFit="1" customWidth="1"/>
    <col min="7" max="13" width="9.5" bestFit="1" customWidth="1"/>
    <col min="14" max="14" width="11.33203125" bestFit="1" customWidth="1"/>
    <col min="15" max="15" width="12" bestFit="1" customWidth="1"/>
    <col min="16" max="16" width="14.5" bestFit="1" customWidth="1"/>
    <col min="17" max="19" width="9.5" bestFit="1" customWidth="1"/>
    <col min="20" max="20" width="10.6640625" bestFit="1" customWidth="1"/>
    <col min="21" max="24" width="13.6640625" bestFit="1" customWidth="1"/>
    <col min="25" max="25" width="16.33203125" bestFit="1" customWidth="1"/>
    <col min="26" max="29" width="11.6640625" bestFit="1" customWidth="1"/>
    <col min="30" max="30" width="14.1640625" bestFit="1" customWidth="1"/>
    <col min="31" max="34" width="12.33203125" bestFit="1" customWidth="1"/>
    <col min="35" max="35" width="14.83203125" bestFit="1" customWidth="1"/>
    <col min="36" max="39" width="9.5" bestFit="1" customWidth="1"/>
    <col min="40" max="40" width="11.83203125" bestFit="1" customWidth="1"/>
  </cols>
  <sheetData>
    <row r="1" spans="1:3" x14ac:dyDescent="0.2">
      <c r="A1" s="6" t="s">
        <v>6</v>
      </c>
      <c r="B1" t="s">
        <v>21</v>
      </c>
    </row>
    <row r="3" spans="1:3" x14ac:dyDescent="0.2">
      <c r="A3" s="6" t="s">
        <v>2034</v>
      </c>
      <c r="B3" t="s">
        <v>2115</v>
      </c>
      <c r="C3" t="s">
        <v>2116</v>
      </c>
    </row>
    <row r="4" spans="1:3" x14ac:dyDescent="0.2">
      <c r="A4" s="7" t="s">
        <v>74</v>
      </c>
      <c r="B4">
        <v>490.31818181818181</v>
      </c>
      <c r="C4">
        <v>70.224973135641022</v>
      </c>
    </row>
    <row r="5" spans="1:3" x14ac:dyDescent="0.2">
      <c r="A5" s="7" t="s">
        <v>14</v>
      </c>
      <c r="B5">
        <v>532.16788321167883</v>
      </c>
      <c r="C5">
        <v>66.274306189356082</v>
      </c>
    </row>
    <row r="6" spans="1:3" x14ac:dyDescent="0.2">
      <c r="A6" s="7" t="s">
        <v>20</v>
      </c>
      <c r="B6">
        <v>860.54128440366969</v>
      </c>
      <c r="C6">
        <v>68.675180749150897</v>
      </c>
    </row>
    <row r="7" spans="1:3" x14ac:dyDescent="0.2">
      <c r="A7" s="7" t="s">
        <v>2044</v>
      </c>
      <c r="B7">
        <v>719.60742705570294</v>
      </c>
      <c r="C7">
        <v>67.893153210187634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0F716-535A-964A-8788-63DA40E154C5}">
  <sheetPr>
    <tabColor rgb="FFC00000"/>
  </sheetPr>
  <dimension ref="A1:U1001"/>
  <sheetViews>
    <sheetView topLeftCell="A2" workbookViewId="0">
      <selection activeCell="G9" sqref="G9"/>
    </sheetView>
  </sheetViews>
  <sheetFormatPr baseColWidth="10" defaultRowHeight="16" x14ac:dyDescent="0.2"/>
  <cols>
    <col min="1" max="1" width="5" customWidth="1"/>
    <col min="2" max="2" width="30.6640625" bestFit="1" customWidth="1"/>
    <col min="3" max="3" width="33.5" style="3" customWidth="1"/>
    <col min="6" max="6" width="17.33203125" style="5" customWidth="1"/>
    <col min="8" max="8" width="15.33203125" customWidth="1"/>
    <col min="9" max="9" width="15.33203125" style="4" customWidth="1"/>
    <col min="12" max="12" width="13.5" customWidth="1"/>
    <col min="13" max="13" width="11.1640625" bestFit="1" customWidth="1"/>
    <col min="14" max="14" width="26.83203125" style="8" bestFit="1" customWidth="1"/>
    <col min="15" max="15" width="25.33203125" style="8" bestFit="1" customWidth="1"/>
    <col min="16" max="16" width="22.6640625" style="8" bestFit="1" customWidth="1"/>
    <col min="17" max="17" width="11.6640625" customWidth="1"/>
    <col min="19" max="19" width="28" bestFit="1" customWidth="1"/>
    <col min="20" max="20" width="19.33203125" bestFit="1" customWidth="1"/>
    <col min="21" max="21" width="17.1640625" bestFit="1" customWidth="1"/>
  </cols>
  <sheetData>
    <row r="1" spans="1:21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3" t="s">
        <v>2029</v>
      </c>
      <c r="G1" s="1" t="s">
        <v>4</v>
      </c>
      <c r="H1" s="1" t="s">
        <v>5</v>
      </c>
      <c r="I1" s="12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4" t="s">
        <v>2071</v>
      </c>
      <c r="O1" s="14" t="s">
        <v>2072</v>
      </c>
      <c r="P1" s="14" t="s">
        <v>2113</v>
      </c>
      <c r="Q1" s="1" t="s">
        <v>10</v>
      </c>
      <c r="R1" s="1" t="s">
        <v>11</v>
      </c>
      <c r="S1" s="1" t="s">
        <v>2028</v>
      </c>
      <c r="T1" s="15" t="s">
        <v>2031</v>
      </c>
      <c r="U1" s="15" t="s">
        <v>2032</v>
      </c>
    </row>
    <row r="2" spans="1:21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 s="5">
        <f>100*Table2[[#This Row],[pledged]]/Table2[[#This Row],[goal]]</f>
        <v>0</v>
      </c>
      <c r="G2" t="s">
        <v>14</v>
      </c>
      <c r="H2">
        <v>0</v>
      </c>
      <c r="I2" s="4">
        <f>IF(Table2[[#This Row],[pledged]]&gt;0,Table2[[#This Row],[pledged]]/Table2[[#This Row],[backers_count]],0)</f>
        <v>0</v>
      </c>
      <c r="J2" t="s">
        <v>15</v>
      </c>
      <c r="K2" t="s">
        <v>16</v>
      </c>
      <c r="L2">
        <v>1448690400</v>
      </c>
      <c r="M2">
        <v>1450159200</v>
      </c>
      <c r="N2" s="8">
        <f t="shared" ref="N2:N65" si="0">(((L2/60)/60)/24)+DATE(1970,1,1)</f>
        <v>42336.25</v>
      </c>
      <c r="O2" s="8">
        <f t="shared" ref="O2:O65" si="1">(((M2/60)/60)/24)+DATE(1970,1,1)</f>
        <v>42353.25</v>
      </c>
      <c r="P2" s="5">
        <f>_xlfn.DAYS(Table2[[#This Row],[Date Ended Conversion]],Table2[[#This Row],[Date Created Conversion]])+1</f>
        <v>18</v>
      </c>
      <c r="Q2" t="b">
        <v>0</v>
      </c>
      <c r="R2" t="b">
        <v>0</v>
      </c>
      <c r="S2" t="s">
        <v>17</v>
      </c>
      <c r="T2" t="str">
        <f>_xlfn.TEXTBEFORE(Table2[[#This Row],[category &amp; sub-category]],"/")</f>
        <v>food</v>
      </c>
      <c r="U2" t="str">
        <f>_xlfn.TEXTAFTER(Table2[[#This Row],[category &amp; sub-category]],"/")</f>
        <v>food trucks</v>
      </c>
    </row>
    <row r="3" spans="1:21" ht="17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 s="5">
        <f>100*Table2[[#This Row],[pledged]]/Table2[[#This Row],[goal]]</f>
        <v>1040</v>
      </c>
      <c r="G3" t="s">
        <v>20</v>
      </c>
      <c r="H3">
        <v>158</v>
      </c>
      <c r="I3" s="4">
        <f>IF(Table2[[#This Row],[pledged]]&gt;0,Table2[[#This Row],[pledged]]/Table2[[#This Row],[backers_count]],0)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8">
        <f t="shared" si="0"/>
        <v>41870.208333333336</v>
      </c>
      <c r="O3" s="8">
        <f t="shared" si="1"/>
        <v>41872.208333333336</v>
      </c>
      <c r="P3" s="5">
        <f>_xlfn.DAYS(Table2[[#This Row],[Date Ended Conversion]],Table2[[#This Row],[Date Created Conversion]])+1</f>
        <v>3</v>
      </c>
      <c r="Q3" t="b">
        <v>0</v>
      </c>
      <c r="R3" t="b">
        <v>1</v>
      </c>
      <c r="S3" t="s">
        <v>23</v>
      </c>
      <c r="T3" t="str">
        <f>_xlfn.TEXTBEFORE(Table2[[#This Row],[category &amp; sub-category]],"/")</f>
        <v>music</v>
      </c>
      <c r="U3" t="str">
        <f>_xlfn.TEXTAFTER(Table2[[#This Row],[category &amp; sub-category]],"/")</f>
        <v>rock</v>
      </c>
    </row>
    <row r="4" spans="1:21" ht="34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 s="5">
        <f>100*Table2[[#This Row],[pledged]]/Table2[[#This Row],[goal]]</f>
        <v>131.47878228782287</v>
      </c>
      <c r="G4" t="s">
        <v>20</v>
      </c>
      <c r="H4">
        <v>1425</v>
      </c>
      <c r="I4" s="4">
        <f>IF(Table2[[#This Row],[pledged]]&gt;0,Table2[[#This Row],[pledged]]/Table2[[#This Row],[backers_count]],0)</f>
        <v>100.01614035087719</v>
      </c>
      <c r="J4" t="s">
        <v>26</v>
      </c>
      <c r="K4" t="s">
        <v>27</v>
      </c>
      <c r="L4">
        <v>1384668000</v>
      </c>
      <c r="M4">
        <v>1384840800</v>
      </c>
      <c r="N4" s="8">
        <f t="shared" si="0"/>
        <v>41595.25</v>
      </c>
      <c r="O4" s="8">
        <f t="shared" si="1"/>
        <v>41597.25</v>
      </c>
      <c r="P4" s="5">
        <f>_xlfn.DAYS(Table2[[#This Row],[Date Ended Conversion]],Table2[[#This Row],[Date Created Conversion]])+1</f>
        <v>3</v>
      </c>
      <c r="Q4" t="b">
        <v>0</v>
      </c>
      <c r="R4" t="b">
        <v>0</v>
      </c>
      <c r="S4" t="s">
        <v>28</v>
      </c>
      <c r="T4" t="str">
        <f>_xlfn.TEXTBEFORE(Table2[[#This Row],[category &amp; sub-category]],"/")</f>
        <v>technology</v>
      </c>
      <c r="U4" t="str">
        <f>_xlfn.TEXTAFTER(Table2[[#This Row],[category &amp; sub-category]],"/")</f>
        <v>web</v>
      </c>
    </row>
    <row r="5" spans="1:21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 s="5">
        <f>100*Table2[[#This Row],[pledged]]/Table2[[#This Row],[goal]]</f>
        <v>58.976190476190474</v>
      </c>
      <c r="G5" t="s">
        <v>14</v>
      </c>
      <c r="H5">
        <v>24</v>
      </c>
      <c r="I5" s="4">
        <f>IF(Table2[[#This Row],[pledged]]&gt;0,Table2[[#This Row],[pledged]]/Table2[[#This Row],[backers_count]],0)</f>
        <v>103.20833333333333</v>
      </c>
      <c r="J5" t="s">
        <v>21</v>
      </c>
      <c r="K5" t="s">
        <v>22</v>
      </c>
      <c r="L5">
        <v>1565499600</v>
      </c>
      <c r="M5">
        <v>1568955600</v>
      </c>
      <c r="N5" s="8">
        <f t="shared" si="0"/>
        <v>43688.208333333328</v>
      </c>
      <c r="O5" s="8">
        <f t="shared" si="1"/>
        <v>43728.208333333328</v>
      </c>
      <c r="P5" s="5">
        <f>_xlfn.DAYS(Table2[[#This Row],[Date Ended Conversion]],Table2[[#This Row],[Date Created Conversion]])+1</f>
        <v>41</v>
      </c>
      <c r="Q5" t="b">
        <v>0</v>
      </c>
      <c r="R5" t="b">
        <v>0</v>
      </c>
      <c r="S5" t="s">
        <v>23</v>
      </c>
      <c r="T5" t="str">
        <f>_xlfn.TEXTBEFORE(Table2[[#This Row],[category &amp; sub-category]],"/")</f>
        <v>music</v>
      </c>
      <c r="U5" t="str">
        <f>_xlfn.TEXTAFTER(Table2[[#This Row],[category &amp; sub-category]],"/")</f>
        <v>rock</v>
      </c>
    </row>
    <row r="6" spans="1:21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 s="5">
        <f>100*Table2[[#This Row],[pledged]]/Table2[[#This Row],[goal]]</f>
        <v>69.276315789473685</v>
      </c>
      <c r="G6" t="s">
        <v>14</v>
      </c>
      <c r="H6">
        <v>53</v>
      </c>
      <c r="I6" s="4">
        <f>IF(Table2[[#This Row],[pledged]]&gt;0,Table2[[#This Row],[pledged]]/Table2[[#This Row],[backers_count]],0)</f>
        <v>99.339622641509436</v>
      </c>
      <c r="J6" t="s">
        <v>21</v>
      </c>
      <c r="K6" t="s">
        <v>22</v>
      </c>
      <c r="L6">
        <v>1547964000</v>
      </c>
      <c r="M6">
        <v>1548309600</v>
      </c>
      <c r="N6" s="8">
        <f t="shared" si="0"/>
        <v>43485.25</v>
      </c>
      <c r="O6" s="8">
        <f t="shared" si="1"/>
        <v>43489.25</v>
      </c>
      <c r="P6" s="5">
        <f>_xlfn.DAYS(Table2[[#This Row],[Date Ended Conversion]],Table2[[#This Row],[Date Created Conversion]])+1</f>
        <v>5</v>
      </c>
      <c r="Q6" t="b">
        <v>0</v>
      </c>
      <c r="R6" t="b">
        <v>0</v>
      </c>
      <c r="S6" t="s">
        <v>33</v>
      </c>
      <c r="T6" t="str">
        <f>_xlfn.TEXTBEFORE(Table2[[#This Row],[category &amp; sub-category]],"/")</f>
        <v>theater</v>
      </c>
      <c r="U6" t="str">
        <f>_xlfn.TEXTAFTER(Table2[[#This Row],[category &amp; sub-category]],"/")</f>
        <v>plays</v>
      </c>
    </row>
    <row r="7" spans="1:21" ht="17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 s="5">
        <f>100*Table2[[#This Row],[pledged]]/Table2[[#This Row],[goal]]</f>
        <v>173.61842105263159</v>
      </c>
      <c r="G7" t="s">
        <v>20</v>
      </c>
      <c r="H7">
        <v>174</v>
      </c>
      <c r="I7" s="4">
        <f>IF(Table2[[#This Row],[pledged]]&gt;0,Table2[[#This Row],[pledged]]/Table2[[#This Row],[backers_count]],0)</f>
        <v>75.833333333333329</v>
      </c>
      <c r="J7" t="s">
        <v>36</v>
      </c>
      <c r="K7" t="s">
        <v>37</v>
      </c>
      <c r="L7">
        <v>1346130000</v>
      </c>
      <c r="M7">
        <v>1347080400</v>
      </c>
      <c r="N7" s="8">
        <f t="shared" si="0"/>
        <v>41149.208333333336</v>
      </c>
      <c r="O7" s="8">
        <f t="shared" si="1"/>
        <v>41160.208333333336</v>
      </c>
      <c r="P7" s="5">
        <f>_xlfn.DAYS(Table2[[#This Row],[Date Ended Conversion]],Table2[[#This Row],[Date Created Conversion]])+1</f>
        <v>12</v>
      </c>
      <c r="Q7" t="b">
        <v>0</v>
      </c>
      <c r="R7" t="b">
        <v>0</v>
      </c>
      <c r="S7" t="s">
        <v>33</v>
      </c>
      <c r="T7" t="str">
        <f>_xlfn.TEXTBEFORE(Table2[[#This Row],[category &amp; sub-category]],"/")</f>
        <v>theater</v>
      </c>
      <c r="U7" t="str">
        <f>_xlfn.TEXTAFTER(Table2[[#This Row],[category &amp; sub-category]],"/")</f>
        <v>plays</v>
      </c>
    </row>
    <row r="8" spans="1:21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 s="5">
        <f>100*Table2[[#This Row],[pledged]]/Table2[[#This Row],[goal]]</f>
        <v>20.96153846153846</v>
      </c>
      <c r="G8" t="s">
        <v>14</v>
      </c>
      <c r="H8">
        <v>18</v>
      </c>
      <c r="I8" s="4">
        <f>IF(Table2[[#This Row],[pledged]]&gt;0,Table2[[#This Row],[pledged]]/Table2[[#This Row],[backers_count]],0)</f>
        <v>60.555555555555557</v>
      </c>
      <c r="J8" t="s">
        <v>40</v>
      </c>
      <c r="K8" t="s">
        <v>41</v>
      </c>
      <c r="L8">
        <v>1505278800</v>
      </c>
      <c r="M8">
        <v>1505365200</v>
      </c>
      <c r="N8" s="8">
        <f t="shared" si="0"/>
        <v>42991.208333333328</v>
      </c>
      <c r="O8" s="8">
        <f t="shared" si="1"/>
        <v>42992.208333333328</v>
      </c>
      <c r="P8" s="5">
        <f>_xlfn.DAYS(Table2[[#This Row],[Date Ended Conversion]],Table2[[#This Row],[Date Created Conversion]])+1</f>
        <v>2</v>
      </c>
      <c r="Q8" t="b">
        <v>0</v>
      </c>
      <c r="R8" t="b">
        <v>0</v>
      </c>
      <c r="S8" t="s">
        <v>42</v>
      </c>
      <c r="T8" t="str">
        <f>_xlfn.TEXTBEFORE(Table2[[#This Row],[category &amp; sub-category]],"/")</f>
        <v>film &amp; video</v>
      </c>
      <c r="U8" t="str">
        <f>_xlfn.TEXTAFTER(Table2[[#This Row],[category &amp; sub-category]],"/")</f>
        <v>documentary</v>
      </c>
    </row>
    <row r="9" spans="1:21" ht="17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 s="5">
        <f>100*Table2[[#This Row],[pledged]]/Table2[[#This Row],[goal]]</f>
        <v>327.57777777777778</v>
      </c>
      <c r="G9" t="s">
        <v>20</v>
      </c>
      <c r="H9">
        <v>227</v>
      </c>
      <c r="I9" s="4">
        <f>IF(Table2[[#This Row],[pledged]]&gt;0,Table2[[#This Row],[pledged]]/Table2[[#This Row],[backers_count]],0)</f>
        <v>64.93832599118943</v>
      </c>
      <c r="J9" t="s">
        <v>36</v>
      </c>
      <c r="K9" t="s">
        <v>37</v>
      </c>
      <c r="L9">
        <v>1439442000</v>
      </c>
      <c r="M9">
        <v>1439614800</v>
      </c>
      <c r="N9" s="8">
        <f t="shared" si="0"/>
        <v>42229.208333333328</v>
      </c>
      <c r="O9" s="8">
        <f t="shared" si="1"/>
        <v>42231.208333333328</v>
      </c>
      <c r="P9" s="5">
        <f>_xlfn.DAYS(Table2[[#This Row],[Date Ended Conversion]],Table2[[#This Row],[Date Created Conversion]])+1</f>
        <v>3</v>
      </c>
      <c r="Q9" t="b">
        <v>0</v>
      </c>
      <c r="R9" t="b">
        <v>0</v>
      </c>
      <c r="S9" t="s">
        <v>33</v>
      </c>
      <c r="T9" t="str">
        <f>_xlfn.TEXTBEFORE(Table2[[#This Row],[category &amp; sub-category]],"/")</f>
        <v>theater</v>
      </c>
      <c r="U9" t="str">
        <f>_xlfn.TEXTAFTER(Table2[[#This Row],[category &amp; sub-category]],"/")</f>
        <v>plays</v>
      </c>
    </row>
    <row r="10" spans="1:21" ht="17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5">
        <f>100*Table2[[#This Row],[pledged]]/Table2[[#This Row],[goal]]</f>
        <v>19.932788374205266</v>
      </c>
      <c r="G10" t="s">
        <v>47</v>
      </c>
      <c r="H10">
        <v>708</v>
      </c>
      <c r="I10" s="4">
        <f>IF(Table2[[#This Row],[pledged]]&gt;0,Table2[[#This Row],[pledged]]/Table2[[#This Row],[backers_count]],0)</f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8">
        <f t="shared" si="0"/>
        <v>40399.208333333336</v>
      </c>
      <c r="O10" s="8">
        <f t="shared" si="1"/>
        <v>40401.208333333336</v>
      </c>
      <c r="P10" s="5">
        <f>_xlfn.DAYS(Table2[[#This Row],[Date Ended Conversion]],Table2[[#This Row],[Date Created Conversion]])+1</f>
        <v>3</v>
      </c>
      <c r="Q10" t="b">
        <v>0</v>
      </c>
      <c r="R10" t="b">
        <v>0</v>
      </c>
      <c r="S10" t="s">
        <v>33</v>
      </c>
      <c r="T10" t="str">
        <f>_xlfn.TEXTBEFORE(Table2[[#This Row],[category &amp; sub-category]],"/")</f>
        <v>theater</v>
      </c>
      <c r="U10" t="str">
        <f>_xlfn.TEXTAFTER(Table2[[#This Row],[category &amp; sub-category]],"/")</f>
        <v>plays</v>
      </c>
    </row>
    <row r="11" spans="1:21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 s="5">
        <f>100*Table2[[#This Row],[pledged]]/Table2[[#This Row],[goal]]</f>
        <v>51.741935483870968</v>
      </c>
      <c r="G11" t="s">
        <v>14</v>
      </c>
      <c r="H11">
        <v>44</v>
      </c>
      <c r="I11" s="4">
        <f>IF(Table2[[#This Row],[pledged]]&gt;0,Table2[[#This Row],[pledged]]/Table2[[#This Row],[backers_count]],0)</f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8">
        <f t="shared" si="0"/>
        <v>41536.208333333336</v>
      </c>
      <c r="O11" s="8">
        <f t="shared" si="1"/>
        <v>41585.25</v>
      </c>
      <c r="P11" s="5">
        <f>_xlfn.DAYS(Table2[[#This Row],[Date Ended Conversion]],Table2[[#This Row],[Date Created Conversion]])+1</f>
        <v>50</v>
      </c>
      <c r="Q11" t="b">
        <v>0</v>
      </c>
      <c r="R11" t="b">
        <v>0</v>
      </c>
      <c r="S11" t="s">
        <v>50</v>
      </c>
      <c r="T11" t="str">
        <f>_xlfn.TEXTBEFORE(Table2[[#This Row],[category &amp; sub-category]],"/")</f>
        <v>music</v>
      </c>
      <c r="U11" t="str">
        <f>_xlfn.TEXTAFTER(Table2[[#This Row],[category &amp; sub-category]],"/")</f>
        <v>electric music</v>
      </c>
    </row>
    <row r="12" spans="1:21" ht="17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5">
        <f>100*Table2[[#This Row],[pledged]]/Table2[[#This Row],[goal]]</f>
        <v>266.11538461538464</v>
      </c>
      <c r="G12" t="s">
        <v>20</v>
      </c>
      <c r="H12">
        <v>220</v>
      </c>
      <c r="I12" s="4">
        <f>IF(Table2[[#This Row],[pledged]]&gt;0,Table2[[#This Row],[pledged]]/Table2[[#This Row],[backers_count]],0)</f>
        <v>62.9</v>
      </c>
      <c r="J12" t="s">
        <v>21</v>
      </c>
      <c r="K12" t="s">
        <v>22</v>
      </c>
      <c r="L12">
        <v>1281762000</v>
      </c>
      <c r="M12">
        <v>1285909200</v>
      </c>
      <c r="N12" s="8">
        <f t="shared" si="0"/>
        <v>40404.208333333336</v>
      </c>
      <c r="O12" s="8">
        <f t="shared" si="1"/>
        <v>40452.208333333336</v>
      </c>
      <c r="P12" s="5">
        <f>_xlfn.DAYS(Table2[[#This Row],[Date Ended Conversion]],Table2[[#This Row],[Date Created Conversion]])+1</f>
        <v>49</v>
      </c>
      <c r="Q12" t="b">
        <v>0</v>
      </c>
      <c r="R12" t="b">
        <v>0</v>
      </c>
      <c r="S12" t="s">
        <v>53</v>
      </c>
      <c r="T12" t="str">
        <f>_xlfn.TEXTBEFORE(Table2[[#This Row],[category &amp; sub-category]],"/")</f>
        <v>film &amp; video</v>
      </c>
      <c r="U12" t="str">
        <f>_xlfn.TEXTAFTER(Table2[[#This Row],[category &amp; sub-category]],"/")</f>
        <v>drama</v>
      </c>
    </row>
    <row r="13" spans="1:21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5">
        <f>100*Table2[[#This Row],[pledged]]/Table2[[#This Row],[goal]]</f>
        <v>48.095238095238095</v>
      </c>
      <c r="G13" t="s">
        <v>14</v>
      </c>
      <c r="H13">
        <v>27</v>
      </c>
      <c r="I13" s="4">
        <f>IF(Table2[[#This Row],[pledged]]&gt;0,Table2[[#This Row],[pledged]]/Table2[[#This Row],[backers_count]],0)</f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8">
        <f t="shared" si="0"/>
        <v>40442.208333333336</v>
      </c>
      <c r="O13" s="8">
        <f t="shared" si="1"/>
        <v>40448.208333333336</v>
      </c>
      <c r="P13" s="5">
        <f>_xlfn.DAYS(Table2[[#This Row],[Date Ended Conversion]],Table2[[#This Row],[Date Created Conversion]])+1</f>
        <v>7</v>
      </c>
      <c r="Q13" t="b">
        <v>0</v>
      </c>
      <c r="R13" t="b">
        <v>1</v>
      </c>
      <c r="S13" t="s">
        <v>33</v>
      </c>
      <c r="T13" t="str">
        <f>_xlfn.TEXTBEFORE(Table2[[#This Row],[category &amp; sub-category]],"/")</f>
        <v>theater</v>
      </c>
      <c r="U13" t="str">
        <f>_xlfn.TEXTAFTER(Table2[[#This Row],[category &amp; sub-category]],"/")</f>
        <v>plays</v>
      </c>
    </row>
    <row r="14" spans="1:21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5">
        <f>100*Table2[[#This Row],[pledged]]/Table2[[#This Row],[goal]]</f>
        <v>89.349206349206355</v>
      </c>
      <c r="G14" t="s">
        <v>14</v>
      </c>
      <c r="H14">
        <v>55</v>
      </c>
      <c r="I14" s="4">
        <f>IF(Table2[[#This Row],[pledged]]&gt;0,Table2[[#This Row],[pledged]]/Table2[[#This Row],[backers_count]],0)</f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8">
        <f t="shared" si="0"/>
        <v>43760.208333333328</v>
      </c>
      <c r="O14" s="8">
        <f t="shared" si="1"/>
        <v>43768.208333333328</v>
      </c>
      <c r="P14" s="5">
        <f>_xlfn.DAYS(Table2[[#This Row],[Date Ended Conversion]],Table2[[#This Row],[Date Created Conversion]])+1</f>
        <v>9</v>
      </c>
      <c r="Q14" t="b">
        <v>0</v>
      </c>
      <c r="R14" t="b">
        <v>0</v>
      </c>
      <c r="S14" t="s">
        <v>53</v>
      </c>
      <c r="T14" t="str">
        <f>_xlfn.TEXTBEFORE(Table2[[#This Row],[category &amp; sub-category]],"/")</f>
        <v>film &amp; video</v>
      </c>
      <c r="U14" t="str">
        <f>_xlfn.TEXTAFTER(Table2[[#This Row],[category &amp; sub-category]],"/")</f>
        <v>drama</v>
      </c>
    </row>
    <row r="15" spans="1:21" ht="34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5">
        <f>100*Table2[[#This Row],[pledged]]/Table2[[#This Row],[goal]]</f>
        <v>245.11904761904762</v>
      </c>
      <c r="G15" t="s">
        <v>20</v>
      </c>
      <c r="H15">
        <v>98</v>
      </c>
      <c r="I15" s="4">
        <f>IF(Table2[[#This Row],[pledged]]&gt;0,Table2[[#This Row],[pledged]]/Table2[[#This Row],[backers_count]],0)</f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8">
        <f t="shared" si="0"/>
        <v>42532.208333333328</v>
      </c>
      <c r="O15" s="8">
        <f t="shared" si="1"/>
        <v>42544.208333333328</v>
      </c>
      <c r="P15" s="5">
        <f>_xlfn.DAYS(Table2[[#This Row],[Date Ended Conversion]],Table2[[#This Row],[Date Created Conversion]])+1</f>
        <v>13</v>
      </c>
      <c r="Q15" t="b">
        <v>0</v>
      </c>
      <c r="R15" t="b">
        <v>0</v>
      </c>
      <c r="S15" t="s">
        <v>60</v>
      </c>
      <c r="T15" t="str">
        <f>_xlfn.TEXTBEFORE(Table2[[#This Row],[category &amp; sub-category]],"/")</f>
        <v>music</v>
      </c>
      <c r="U15" t="str">
        <f>_xlfn.TEXTAFTER(Table2[[#This Row],[category &amp; sub-category]],"/")</f>
        <v>indie rock</v>
      </c>
    </row>
    <row r="16" spans="1:21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5">
        <f>100*Table2[[#This Row],[pledged]]/Table2[[#This Row],[goal]]</f>
        <v>66.769503546099287</v>
      </c>
      <c r="G16" t="s">
        <v>14</v>
      </c>
      <c r="H16">
        <v>200</v>
      </c>
      <c r="I16" s="4">
        <f>IF(Table2[[#This Row],[pledged]]&gt;0,Table2[[#This Row],[pledged]]/Table2[[#This Row],[backers_count]],0)</f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8">
        <f t="shared" si="0"/>
        <v>40974.25</v>
      </c>
      <c r="O16" s="8">
        <f t="shared" si="1"/>
        <v>41001.208333333336</v>
      </c>
      <c r="P16" s="5">
        <f>_xlfn.DAYS(Table2[[#This Row],[Date Ended Conversion]],Table2[[#This Row],[Date Created Conversion]])+1</f>
        <v>28</v>
      </c>
      <c r="Q16" t="b">
        <v>0</v>
      </c>
      <c r="R16" t="b">
        <v>0</v>
      </c>
      <c r="S16" t="s">
        <v>60</v>
      </c>
      <c r="T16" t="str">
        <f>_xlfn.TEXTBEFORE(Table2[[#This Row],[category &amp; sub-category]],"/")</f>
        <v>music</v>
      </c>
      <c r="U16" t="str">
        <f>_xlfn.TEXTAFTER(Table2[[#This Row],[category &amp; sub-category]],"/")</f>
        <v>indie rock</v>
      </c>
    </row>
    <row r="17" spans="1:21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5">
        <f>100*Table2[[#This Row],[pledged]]/Table2[[#This Row],[goal]]</f>
        <v>47.307881773399018</v>
      </c>
      <c r="G17" t="s">
        <v>14</v>
      </c>
      <c r="H17">
        <v>452</v>
      </c>
      <c r="I17" s="4">
        <f>IF(Table2[[#This Row],[pledged]]&gt;0,Table2[[#This Row],[pledged]]/Table2[[#This Row],[backers_count]],0)</f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8">
        <f t="shared" si="0"/>
        <v>43809.25</v>
      </c>
      <c r="O17" s="8">
        <f t="shared" si="1"/>
        <v>43813.25</v>
      </c>
      <c r="P17" s="5">
        <f>_xlfn.DAYS(Table2[[#This Row],[Date Ended Conversion]],Table2[[#This Row],[Date Created Conversion]])+1</f>
        <v>5</v>
      </c>
      <c r="Q17" t="b">
        <v>0</v>
      </c>
      <c r="R17" t="b">
        <v>0</v>
      </c>
      <c r="S17" t="s">
        <v>65</v>
      </c>
      <c r="T17" t="str">
        <f>_xlfn.TEXTBEFORE(Table2[[#This Row],[category &amp; sub-category]],"/")</f>
        <v>technology</v>
      </c>
      <c r="U17" t="str">
        <f>_xlfn.TEXTAFTER(Table2[[#This Row],[category &amp; sub-category]],"/")</f>
        <v>wearables</v>
      </c>
    </row>
    <row r="18" spans="1:21" ht="17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5">
        <f>100*Table2[[#This Row],[pledged]]/Table2[[#This Row],[goal]]</f>
        <v>649.47058823529414</v>
      </c>
      <c r="G18" t="s">
        <v>20</v>
      </c>
      <c r="H18">
        <v>100</v>
      </c>
      <c r="I18" s="4">
        <f>IF(Table2[[#This Row],[pledged]]&gt;0,Table2[[#This Row],[pledged]]/Table2[[#This Row],[backers_count]],0)</f>
        <v>110.41</v>
      </c>
      <c r="J18" t="s">
        <v>21</v>
      </c>
      <c r="K18" t="s">
        <v>22</v>
      </c>
      <c r="L18">
        <v>1390370400</v>
      </c>
      <c r="M18">
        <v>1392271200</v>
      </c>
      <c r="N18" s="8">
        <f t="shared" si="0"/>
        <v>41661.25</v>
      </c>
      <c r="O18" s="8">
        <f t="shared" si="1"/>
        <v>41683.25</v>
      </c>
      <c r="P18" s="5">
        <f>_xlfn.DAYS(Table2[[#This Row],[Date Ended Conversion]],Table2[[#This Row],[Date Created Conversion]])+1</f>
        <v>23</v>
      </c>
      <c r="Q18" t="b">
        <v>0</v>
      </c>
      <c r="R18" t="b">
        <v>0</v>
      </c>
      <c r="S18" t="s">
        <v>68</v>
      </c>
      <c r="T18" t="str">
        <f>_xlfn.TEXTBEFORE(Table2[[#This Row],[category &amp; sub-category]],"/")</f>
        <v>publishing</v>
      </c>
      <c r="U18" t="str">
        <f>_xlfn.TEXTAFTER(Table2[[#This Row],[category &amp; sub-category]],"/")</f>
        <v>nonfiction</v>
      </c>
    </row>
    <row r="19" spans="1:21" ht="17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5">
        <f>100*Table2[[#This Row],[pledged]]/Table2[[#This Row],[goal]]</f>
        <v>159.39125295508273</v>
      </c>
      <c r="G19" t="s">
        <v>20</v>
      </c>
      <c r="H19">
        <v>1249</v>
      </c>
      <c r="I19" s="4">
        <f>IF(Table2[[#This Row],[pledged]]&gt;0,Table2[[#This Row],[pledged]]/Table2[[#This Row],[backers_count]],0)</f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8">
        <f t="shared" si="0"/>
        <v>40555.25</v>
      </c>
      <c r="O19" s="8">
        <f t="shared" si="1"/>
        <v>40556.25</v>
      </c>
      <c r="P19" s="5">
        <f>_xlfn.DAYS(Table2[[#This Row],[Date Ended Conversion]],Table2[[#This Row],[Date Created Conversion]])+1</f>
        <v>2</v>
      </c>
      <c r="Q19" t="b">
        <v>0</v>
      </c>
      <c r="R19" t="b">
        <v>0</v>
      </c>
      <c r="S19" t="s">
        <v>71</v>
      </c>
      <c r="T19" t="str">
        <f>_xlfn.TEXTBEFORE(Table2[[#This Row],[category &amp; sub-category]],"/")</f>
        <v>film &amp; video</v>
      </c>
      <c r="U19" t="str">
        <f>_xlfn.TEXTAFTER(Table2[[#This Row],[category &amp; sub-category]],"/")</f>
        <v>animation</v>
      </c>
    </row>
    <row r="20" spans="1:21" ht="17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5">
        <f>100*Table2[[#This Row],[pledged]]/Table2[[#This Row],[goal]]</f>
        <v>66.912087912087912</v>
      </c>
      <c r="G20" t="s">
        <v>74</v>
      </c>
      <c r="H20">
        <v>135</v>
      </c>
      <c r="I20" s="4">
        <f>IF(Table2[[#This Row],[pledged]]&gt;0,Table2[[#This Row],[pledged]]/Table2[[#This Row],[backers_count]],0)</f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8">
        <f t="shared" si="0"/>
        <v>43351.208333333328</v>
      </c>
      <c r="O20" s="8">
        <f t="shared" si="1"/>
        <v>43359.208333333328</v>
      </c>
      <c r="P20" s="5">
        <f>_xlfn.DAYS(Table2[[#This Row],[Date Ended Conversion]],Table2[[#This Row],[Date Created Conversion]])+1</f>
        <v>9</v>
      </c>
      <c r="Q20" t="b">
        <v>0</v>
      </c>
      <c r="R20" t="b">
        <v>0</v>
      </c>
      <c r="S20" t="s">
        <v>33</v>
      </c>
      <c r="T20" t="str">
        <f>_xlfn.TEXTBEFORE(Table2[[#This Row],[category &amp; sub-category]],"/")</f>
        <v>theater</v>
      </c>
      <c r="U20" t="str">
        <f>_xlfn.TEXTAFTER(Table2[[#This Row],[category &amp; sub-category]],"/")</f>
        <v>plays</v>
      </c>
    </row>
    <row r="21" spans="1:21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5">
        <f>100*Table2[[#This Row],[pledged]]/Table2[[#This Row],[goal]]</f>
        <v>48.529600000000002</v>
      </c>
      <c r="G21" t="s">
        <v>14</v>
      </c>
      <c r="H21">
        <v>674</v>
      </c>
      <c r="I21" s="4">
        <f>IF(Table2[[#This Row],[pledged]]&gt;0,Table2[[#This Row],[pledged]]/Table2[[#This Row],[backers_count]],0)</f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8">
        <f t="shared" si="0"/>
        <v>43528.25</v>
      </c>
      <c r="O21" s="8">
        <f t="shared" si="1"/>
        <v>43549.208333333328</v>
      </c>
      <c r="P21" s="5">
        <f>_xlfn.DAYS(Table2[[#This Row],[Date Ended Conversion]],Table2[[#This Row],[Date Created Conversion]])+1</f>
        <v>22</v>
      </c>
      <c r="Q21" t="b">
        <v>0</v>
      </c>
      <c r="R21" t="b">
        <v>1</v>
      </c>
      <c r="S21" t="s">
        <v>33</v>
      </c>
      <c r="T21" t="str">
        <f>_xlfn.TEXTBEFORE(Table2[[#This Row],[category &amp; sub-category]],"/")</f>
        <v>theater</v>
      </c>
      <c r="U21" t="str">
        <f>_xlfn.TEXTAFTER(Table2[[#This Row],[category &amp; sub-category]],"/")</f>
        <v>plays</v>
      </c>
    </row>
    <row r="22" spans="1:21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5">
        <f>100*Table2[[#This Row],[pledged]]/Table2[[#This Row],[goal]]</f>
        <v>112.24279210925646</v>
      </c>
      <c r="G22" t="s">
        <v>20</v>
      </c>
      <c r="H22">
        <v>1396</v>
      </c>
      <c r="I22" s="4">
        <f>IF(Table2[[#This Row],[pledged]]&gt;0,Table2[[#This Row],[pledged]]/Table2[[#This Row],[backers_count]],0)</f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8">
        <f t="shared" si="0"/>
        <v>41848.208333333336</v>
      </c>
      <c r="O22" s="8">
        <f t="shared" si="1"/>
        <v>41848.208333333336</v>
      </c>
      <c r="P22" s="5">
        <f>_xlfn.DAYS(Table2[[#This Row],[Date Ended Conversion]],Table2[[#This Row],[Date Created Conversion]])+1</f>
        <v>1</v>
      </c>
      <c r="Q22" t="b">
        <v>0</v>
      </c>
      <c r="R22" t="b">
        <v>0</v>
      </c>
      <c r="S22" t="s">
        <v>53</v>
      </c>
      <c r="T22" t="str">
        <f>_xlfn.TEXTBEFORE(Table2[[#This Row],[category &amp; sub-category]],"/")</f>
        <v>film &amp; video</v>
      </c>
      <c r="U22" t="str">
        <f>_xlfn.TEXTAFTER(Table2[[#This Row],[category &amp; sub-category]],"/")</f>
        <v>drama</v>
      </c>
    </row>
    <row r="23" spans="1:21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5">
        <f>100*Table2[[#This Row],[pledged]]/Table2[[#This Row],[goal]]</f>
        <v>40.992553191489364</v>
      </c>
      <c r="G23" t="s">
        <v>14</v>
      </c>
      <c r="H23">
        <v>558</v>
      </c>
      <c r="I23" s="4">
        <f>IF(Table2[[#This Row],[pledged]]&gt;0,Table2[[#This Row],[pledged]]/Table2[[#This Row],[backers_count]],0)</f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8">
        <f t="shared" si="0"/>
        <v>40770.208333333336</v>
      </c>
      <c r="O23" s="8">
        <f t="shared" si="1"/>
        <v>40804.208333333336</v>
      </c>
      <c r="P23" s="5">
        <f>_xlfn.DAYS(Table2[[#This Row],[Date Ended Conversion]],Table2[[#This Row],[Date Created Conversion]])+1</f>
        <v>35</v>
      </c>
      <c r="Q23" t="b">
        <v>0</v>
      </c>
      <c r="R23" t="b">
        <v>0</v>
      </c>
      <c r="S23" t="s">
        <v>33</v>
      </c>
      <c r="T23" t="str">
        <f>_xlfn.TEXTBEFORE(Table2[[#This Row],[category &amp; sub-category]],"/")</f>
        <v>theater</v>
      </c>
      <c r="U23" t="str">
        <f>_xlfn.TEXTAFTER(Table2[[#This Row],[category &amp; sub-category]],"/")</f>
        <v>plays</v>
      </c>
    </row>
    <row r="24" spans="1:21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5">
        <f>100*Table2[[#This Row],[pledged]]/Table2[[#This Row],[goal]]</f>
        <v>128.07106598984771</v>
      </c>
      <c r="G24" t="s">
        <v>20</v>
      </c>
      <c r="H24">
        <v>890</v>
      </c>
      <c r="I24" s="4">
        <f>IF(Table2[[#This Row],[pledged]]&gt;0,Table2[[#This Row],[pledged]]/Table2[[#This Row],[backers_count]],0)</f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8">
        <f t="shared" si="0"/>
        <v>43193.208333333328</v>
      </c>
      <c r="O24" s="8">
        <f t="shared" si="1"/>
        <v>43208.208333333328</v>
      </c>
      <c r="P24" s="5">
        <f>_xlfn.DAYS(Table2[[#This Row],[Date Ended Conversion]],Table2[[#This Row],[Date Created Conversion]])+1</f>
        <v>16</v>
      </c>
      <c r="Q24" t="b">
        <v>0</v>
      </c>
      <c r="R24" t="b">
        <v>0</v>
      </c>
      <c r="S24" t="s">
        <v>33</v>
      </c>
      <c r="T24" t="str">
        <f>_xlfn.TEXTBEFORE(Table2[[#This Row],[category &amp; sub-category]],"/")</f>
        <v>theater</v>
      </c>
      <c r="U24" t="str">
        <f>_xlfn.TEXTAFTER(Table2[[#This Row],[category &amp; sub-category]],"/")</f>
        <v>plays</v>
      </c>
    </row>
    <row r="25" spans="1:21" ht="17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5">
        <f>100*Table2[[#This Row],[pledged]]/Table2[[#This Row],[goal]]</f>
        <v>332.04444444444442</v>
      </c>
      <c r="G25" t="s">
        <v>20</v>
      </c>
      <c r="H25">
        <v>142</v>
      </c>
      <c r="I25" s="4">
        <f>IF(Table2[[#This Row],[pledged]]&gt;0,Table2[[#This Row],[pledged]]/Table2[[#This Row],[backers_count]],0)</f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8">
        <f t="shared" si="0"/>
        <v>43510.25</v>
      </c>
      <c r="O25" s="8">
        <f t="shared" si="1"/>
        <v>43563.208333333328</v>
      </c>
      <c r="P25" s="5">
        <f>_xlfn.DAYS(Table2[[#This Row],[Date Ended Conversion]],Table2[[#This Row],[Date Created Conversion]])+1</f>
        <v>54</v>
      </c>
      <c r="Q25" t="b">
        <v>0</v>
      </c>
      <c r="R25" t="b">
        <v>0</v>
      </c>
      <c r="S25" t="s">
        <v>42</v>
      </c>
      <c r="T25" t="str">
        <f>_xlfn.TEXTBEFORE(Table2[[#This Row],[category &amp; sub-category]],"/")</f>
        <v>film &amp; video</v>
      </c>
      <c r="U25" t="str">
        <f>_xlfn.TEXTAFTER(Table2[[#This Row],[category &amp; sub-category]],"/")</f>
        <v>documentary</v>
      </c>
    </row>
    <row r="26" spans="1:21" ht="17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5">
        <f>100*Table2[[#This Row],[pledged]]/Table2[[#This Row],[goal]]</f>
        <v>112.83225108225108</v>
      </c>
      <c r="G26" t="s">
        <v>20</v>
      </c>
      <c r="H26">
        <v>2673</v>
      </c>
      <c r="I26" s="4">
        <f>IF(Table2[[#This Row],[pledged]]&gt;0,Table2[[#This Row],[pledged]]/Table2[[#This Row],[backers_count]],0)</f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8">
        <f t="shared" si="0"/>
        <v>41811.208333333336</v>
      </c>
      <c r="O26" s="8">
        <f t="shared" si="1"/>
        <v>41813.208333333336</v>
      </c>
      <c r="P26" s="5">
        <f>_xlfn.DAYS(Table2[[#This Row],[Date Ended Conversion]],Table2[[#This Row],[Date Created Conversion]])+1</f>
        <v>3</v>
      </c>
      <c r="Q26" t="b">
        <v>0</v>
      </c>
      <c r="R26" t="b">
        <v>0</v>
      </c>
      <c r="S26" t="s">
        <v>65</v>
      </c>
      <c r="T26" t="str">
        <f>_xlfn.TEXTBEFORE(Table2[[#This Row],[category &amp; sub-category]],"/")</f>
        <v>technology</v>
      </c>
      <c r="U26" t="str">
        <f>_xlfn.TEXTAFTER(Table2[[#This Row],[category &amp; sub-category]],"/")</f>
        <v>wearables</v>
      </c>
    </row>
    <row r="27" spans="1:21" ht="17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5">
        <f>100*Table2[[#This Row],[pledged]]/Table2[[#This Row],[goal]]</f>
        <v>216.43636363636364</v>
      </c>
      <c r="G27" t="s">
        <v>20</v>
      </c>
      <c r="H27">
        <v>163</v>
      </c>
      <c r="I27" s="4">
        <f>IF(Table2[[#This Row],[pledged]]&gt;0,Table2[[#This Row],[pledged]]/Table2[[#This Row],[backers_count]],0)</f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8">
        <f t="shared" si="0"/>
        <v>40681.208333333336</v>
      </c>
      <c r="O27" s="8">
        <f t="shared" si="1"/>
        <v>40701.208333333336</v>
      </c>
      <c r="P27" s="5">
        <f>_xlfn.DAYS(Table2[[#This Row],[Date Ended Conversion]],Table2[[#This Row],[Date Created Conversion]])+1</f>
        <v>21</v>
      </c>
      <c r="Q27" t="b">
        <v>0</v>
      </c>
      <c r="R27" t="b">
        <v>1</v>
      </c>
      <c r="S27" t="s">
        <v>89</v>
      </c>
      <c r="T27" t="str">
        <f>_xlfn.TEXTBEFORE(Table2[[#This Row],[category &amp; sub-category]],"/")</f>
        <v>games</v>
      </c>
      <c r="U27" t="str">
        <f>_xlfn.TEXTAFTER(Table2[[#This Row],[category &amp; sub-category]],"/")</f>
        <v>video games</v>
      </c>
    </row>
    <row r="28" spans="1:21" ht="17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5">
        <f>100*Table2[[#This Row],[pledged]]/Table2[[#This Row],[goal]]</f>
        <v>48.199069767441863</v>
      </c>
      <c r="G28" t="s">
        <v>74</v>
      </c>
      <c r="H28">
        <v>1480</v>
      </c>
      <c r="I28" s="4">
        <f>IF(Table2[[#This Row],[pledged]]&gt;0,Table2[[#This Row],[pledged]]/Table2[[#This Row],[backers_count]],0)</f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8">
        <f t="shared" si="0"/>
        <v>43312.208333333328</v>
      </c>
      <c r="O28" s="8">
        <f t="shared" si="1"/>
        <v>43339.208333333328</v>
      </c>
      <c r="P28" s="5">
        <f>_xlfn.DAYS(Table2[[#This Row],[Date Ended Conversion]],Table2[[#This Row],[Date Created Conversion]])+1</f>
        <v>28</v>
      </c>
      <c r="Q28" t="b">
        <v>0</v>
      </c>
      <c r="R28" t="b">
        <v>0</v>
      </c>
      <c r="S28" t="s">
        <v>33</v>
      </c>
      <c r="T28" t="str">
        <f>_xlfn.TEXTBEFORE(Table2[[#This Row],[category &amp; sub-category]],"/")</f>
        <v>theater</v>
      </c>
      <c r="U28" t="str">
        <f>_xlfn.TEXTAFTER(Table2[[#This Row],[category &amp; sub-category]],"/")</f>
        <v>plays</v>
      </c>
    </row>
    <row r="29" spans="1:21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5">
        <f>100*Table2[[#This Row],[pledged]]/Table2[[#This Row],[goal]]</f>
        <v>79.95</v>
      </c>
      <c r="G29" t="s">
        <v>14</v>
      </c>
      <c r="H29">
        <v>15</v>
      </c>
      <c r="I29" s="4">
        <f>IF(Table2[[#This Row],[pledged]]&gt;0,Table2[[#This Row],[pledged]]/Table2[[#This Row],[backers_count]],0)</f>
        <v>106.6</v>
      </c>
      <c r="J29" t="s">
        <v>21</v>
      </c>
      <c r="K29" t="s">
        <v>22</v>
      </c>
      <c r="L29">
        <v>1443848400</v>
      </c>
      <c r="M29">
        <v>1444539600</v>
      </c>
      <c r="N29" s="8">
        <f t="shared" si="0"/>
        <v>42280.208333333328</v>
      </c>
      <c r="O29" s="8">
        <f t="shared" si="1"/>
        <v>42288.208333333328</v>
      </c>
      <c r="P29" s="5">
        <f>_xlfn.DAYS(Table2[[#This Row],[Date Ended Conversion]],Table2[[#This Row],[Date Created Conversion]])+1</f>
        <v>9</v>
      </c>
      <c r="Q29" t="b">
        <v>0</v>
      </c>
      <c r="R29" t="b">
        <v>0</v>
      </c>
      <c r="S29" t="s">
        <v>23</v>
      </c>
      <c r="T29" t="str">
        <f>_xlfn.TEXTBEFORE(Table2[[#This Row],[category &amp; sub-category]],"/")</f>
        <v>music</v>
      </c>
      <c r="U29" t="str">
        <f>_xlfn.TEXTAFTER(Table2[[#This Row],[category &amp; sub-category]],"/")</f>
        <v>rock</v>
      </c>
    </row>
    <row r="30" spans="1:21" ht="17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5">
        <f>100*Table2[[#This Row],[pledged]]/Table2[[#This Row],[goal]]</f>
        <v>105.22553516819572</v>
      </c>
      <c r="G30" t="s">
        <v>20</v>
      </c>
      <c r="H30">
        <v>2220</v>
      </c>
      <c r="I30" s="4">
        <f>IF(Table2[[#This Row],[pledged]]&gt;0,Table2[[#This Row],[pledged]]/Table2[[#This Row],[backers_count]],0)</f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8">
        <f t="shared" si="0"/>
        <v>40218.25</v>
      </c>
      <c r="O30" s="8">
        <f t="shared" si="1"/>
        <v>40241.25</v>
      </c>
      <c r="P30" s="5">
        <f>_xlfn.DAYS(Table2[[#This Row],[Date Ended Conversion]],Table2[[#This Row],[Date Created Conversion]])+1</f>
        <v>24</v>
      </c>
      <c r="Q30" t="b">
        <v>0</v>
      </c>
      <c r="R30" t="b">
        <v>1</v>
      </c>
      <c r="S30" t="s">
        <v>33</v>
      </c>
      <c r="T30" t="str">
        <f>_xlfn.TEXTBEFORE(Table2[[#This Row],[category &amp; sub-category]],"/")</f>
        <v>theater</v>
      </c>
      <c r="U30" t="str">
        <f>_xlfn.TEXTAFTER(Table2[[#This Row],[category &amp; sub-category]],"/")</f>
        <v>plays</v>
      </c>
    </row>
    <row r="31" spans="1:21" ht="17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5">
        <f>100*Table2[[#This Row],[pledged]]/Table2[[#This Row],[goal]]</f>
        <v>328.89978213507624</v>
      </c>
      <c r="G31" t="s">
        <v>20</v>
      </c>
      <c r="H31">
        <v>1606</v>
      </c>
      <c r="I31" s="4">
        <f>IF(Table2[[#This Row],[pledged]]&gt;0,Table2[[#This Row],[pledged]]/Table2[[#This Row],[backers_count]],0)</f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8">
        <f t="shared" si="0"/>
        <v>43301.208333333328</v>
      </c>
      <c r="O31" s="8">
        <f t="shared" si="1"/>
        <v>43341.208333333328</v>
      </c>
      <c r="P31" s="5">
        <f>_xlfn.DAYS(Table2[[#This Row],[Date Ended Conversion]],Table2[[#This Row],[Date Created Conversion]])+1</f>
        <v>41</v>
      </c>
      <c r="Q31" t="b">
        <v>0</v>
      </c>
      <c r="R31" t="b">
        <v>0</v>
      </c>
      <c r="S31" t="s">
        <v>100</v>
      </c>
      <c r="T31" t="str">
        <f>_xlfn.TEXTBEFORE(Table2[[#This Row],[category &amp; sub-category]],"/")</f>
        <v>film &amp; video</v>
      </c>
      <c r="U31" t="str">
        <f>_xlfn.TEXTAFTER(Table2[[#This Row],[category &amp; sub-category]],"/")</f>
        <v>shorts</v>
      </c>
    </row>
    <row r="32" spans="1:21" ht="17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5">
        <f>100*Table2[[#This Row],[pledged]]/Table2[[#This Row],[goal]]</f>
        <v>160.61111111111111</v>
      </c>
      <c r="G32" t="s">
        <v>20</v>
      </c>
      <c r="H32">
        <v>129</v>
      </c>
      <c r="I32" s="4">
        <f>IF(Table2[[#This Row],[pledged]]&gt;0,Table2[[#This Row],[pledged]]/Table2[[#This Row],[backers_count]],0)</f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8">
        <f t="shared" si="0"/>
        <v>43609.208333333328</v>
      </c>
      <c r="O32" s="8">
        <f t="shared" si="1"/>
        <v>43614.208333333328</v>
      </c>
      <c r="P32" s="5">
        <f>_xlfn.DAYS(Table2[[#This Row],[Date Ended Conversion]],Table2[[#This Row],[Date Created Conversion]])+1</f>
        <v>6</v>
      </c>
      <c r="Q32" t="b">
        <v>0</v>
      </c>
      <c r="R32" t="b">
        <v>0</v>
      </c>
      <c r="S32" t="s">
        <v>71</v>
      </c>
      <c r="T32" t="str">
        <f>_xlfn.TEXTBEFORE(Table2[[#This Row],[category &amp; sub-category]],"/")</f>
        <v>film &amp; video</v>
      </c>
      <c r="U32" t="str">
        <f>_xlfn.TEXTAFTER(Table2[[#This Row],[category &amp; sub-category]],"/")</f>
        <v>animation</v>
      </c>
    </row>
    <row r="33" spans="1:21" ht="17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5">
        <f>100*Table2[[#This Row],[pledged]]/Table2[[#This Row],[goal]]</f>
        <v>310</v>
      </c>
      <c r="G33" t="s">
        <v>20</v>
      </c>
      <c r="H33">
        <v>226</v>
      </c>
      <c r="I33" s="4">
        <f>IF(Table2[[#This Row],[pledged]]&gt;0,Table2[[#This Row],[pledged]]/Table2[[#This Row],[backers_count]],0)</f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8">
        <f t="shared" si="0"/>
        <v>42374.25</v>
      </c>
      <c r="O33" s="8">
        <f t="shared" si="1"/>
        <v>42402.25</v>
      </c>
      <c r="P33" s="5">
        <f>_xlfn.DAYS(Table2[[#This Row],[Date Ended Conversion]],Table2[[#This Row],[Date Created Conversion]])+1</f>
        <v>29</v>
      </c>
      <c r="Q33" t="b">
        <v>0</v>
      </c>
      <c r="R33" t="b">
        <v>0</v>
      </c>
      <c r="S33" t="s">
        <v>89</v>
      </c>
      <c r="T33" t="str">
        <f>_xlfn.TEXTBEFORE(Table2[[#This Row],[category &amp; sub-category]],"/")</f>
        <v>games</v>
      </c>
      <c r="U33" t="str">
        <f>_xlfn.TEXTAFTER(Table2[[#This Row],[category &amp; sub-category]],"/")</f>
        <v>video games</v>
      </c>
    </row>
    <row r="34" spans="1:21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5">
        <f>100*Table2[[#This Row],[pledged]]/Table2[[#This Row],[goal]]</f>
        <v>86.807920792079202</v>
      </c>
      <c r="G34" t="s">
        <v>14</v>
      </c>
      <c r="H34">
        <v>2307</v>
      </c>
      <c r="I34" s="4">
        <f>IF(Table2[[#This Row],[pledged]]&gt;0,Table2[[#This Row],[pledged]]/Table2[[#This Row],[backers_count]],0)</f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8">
        <f t="shared" si="0"/>
        <v>43110.25</v>
      </c>
      <c r="O34" s="8">
        <f t="shared" si="1"/>
        <v>43137.25</v>
      </c>
      <c r="P34" s="5">
        <f>_xlfn.DAYS(Table2[[#This Row],[Date Ended Conversion]],Table2[[#This Row],[Date Created Conversion]])+1</f>
        <v>28</v>
      </c>
      <c r="Q34" t="b">
        <v>0</v>
      </c>
      <c r="R34" t="b">
        <v>0</v>
      </c>
      <c r="S34" t="s">
        <v>42</v>
      </c>
      <c r="T34" t="str">
        <f>_xlfn.TEXTBEFORE(Table2[[#This Row],[category &amp; sub-category]],"/")</f>
        <v>film &amp; video</v>
      </c>
      <c r="U34" t="str">
        <f>_xlfn.TEXTAFTER(Table2[[#This Row],[category &amp; sub-category]],"/")</f>
        <v>documentary</v>
      </c>
    </row>
    <row r="35" spans="1:21" ht="17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5">
        <f>100*Table2[[#This Row],[pledged]]/Table2[[#This Row],[goal]]</f>
        <v>377.82071713147411</v>
      </c>
      <c r="G35" t="s">
        <v>20</v>
      </c>
      <c r="H35">
        <v>5419</v>
      </c>
      <c r="I35" s="4">
        <f>IF(Table2[[#This Row],[pledged]]&gt;0,Table2[[#This Row],[pledged]]/Table2[[#This Row],[backers_count]],0)</f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8">
        <f t="shared" si="0"/>
        <v>41917.208333333336</v>
      </c>
      <c r="O35" s="8">
        <f t="shared" si="1"/>
        <v>41954.25</v>
      </c>
      <c r="P35" s="5">
        <f>_xlfn.DAYS(Table2[[#This Row],[Date Ended Conversion]],Table2[[#This Row],[Date Created Conversion]])+1</f>
        <v>38</v>
      </c>
      <c r="Q35" t="b">
        <v>0</v>
      </c>
      <c r="R35" t="b">
        <v>0</v>
      </c>
      <c r="S35" t="s">
        <v>33</v>
      </c>
      <c r="T35" t="str">
        <f>_xlfn.TEXTBEFORE(Table2[[#This Row],[category &amp; sub-category]],"/")</f>
        <v>theater</v>
      </c>
      <c r="U35" t="str">
        <f>_xlfn.TEXTAFTER(Table2[[#This Row],[category &amp; sub-category]],"/")</f>
        <v>plays</v>
      </c>
    </row>
    <row r="36" spans="1:21" ht="34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5">
        <f>100*Table2[[#This Row],[pledged]]/Table2[[#This Row],[goal]]</f>
        <v>150.80645161290323</v>
      </c>
      <c r="G36" t="s">
        <v>20</v>
      </c>
      <c r="H36">
        <v>165</v>
      </c>
      <c r="I36" s="4">
        <f>IF(Table2[[#This Row],[pledged]]&gt;0,Table2[[#This Row],[pledged]]/Table2[[#This Row],[backers_count]],0)</f>
        <v>85</v>
      </c>
      <c r="J36" t="s">
        <v>21</v>
      </c>
      <c r="K36" t="s">
        <v>22</v>
      </c>
      <c r="L36">
        <v>1490245200</v>
      </c>
      <c r="M36">
        <v>1490677200</v>
      </c>
      <c r="N36" s="8">
        <f t="shared" si="0"/>
        <v>42817.208333333328</v>
      </c>
      <c r="O36" s="8">
        <f t="shared" si="1"/>
        <v>42822.208333333328</v>
      </c>
      <c r="P36" s="5">
        <f>_xlfn.DAYS(Table2[[#This Row],[Date Ended Conversion]],Table2[[#This Row],[Date Created Conversion]])+1</f>
        <v>6</v>
      </c>
      <c r="Q36" t="b">
        <v>0</v>
      </c>
      <c r="R36" t="b">
        <v>0</v>
      </c>
      <c r="S36" t="s">
        <v>42</v>
      </c>
      <c r="T36" t="str">
        <f>_xlfn.TEXTBEFORE(Table2[[#This Row],[category &amp; sub-category]],"/")</f>
        <v>film &amp; video</v>
      </c>
      <c r="U36" t="str">
        <f>_xlfn.TEXTAFTER(Table2[[#This Row],[category &amp; sub-category]],"/")</f>
        <v>documentary</v>
      </c>
    </row>
    <row r="37" spans="1:21" ht="17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5">
        <f>100*Table2[[#This Row],[pledged]]/Table2[[#This Row],[goal]]</f>
        <v>150.30119521912351</v>
      </c>
      <c r="G37" t="s">
        <v>20</v>
      </c>
      <c r="H37">
        <v>1965</v>
      </c>
      <c r="I37" s="4">
        <f>IF(Table2[[#This Row],[pledged]]&gt;0,Table2[[#This Row],[pledged]]/Table2[[#This Row],[backers_count]],0)</f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8">
        <f t="shared" si="0"/>
        <v>43484.25</v>
      </c>
      <c r="O37" s="8">
        <f t="shared" si="1"/>
        <v>43526.25</v>
      </c>
      <c r="P37" s="5">
        <f>_xlfn.DAYS(Table2[[#This Row],[Date Ended Conversion]],Table2[[#This Row],[Date Created Conversion]])+1</f>
        <v>43</v>
      </c>
      <c r="Q37" t="b">
        <v>0</v>
      </c>
      <c r="R37" t="b">
        <v>1</v>
      </c>
      <c r="S37" t="s">
        <v>53</v>
      </c>
      <c r="T37" t="str">
        <f>_xlfn.TEXTBEFORE(Table2[[#This Row],[category &amp; sub-category]],"/")</f>
        <v>film &amp; video</v>
      </c>
      <c r="U37" t="str">
        <f>_xlfn.TEXTAFTER(Table2[[#This Row],[category &amp; sub-category]],"/")</f>
        <v>drama</v>
      </c>
    </row>
    <row r="38" spans="1:21" ht="17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5">
        <f>100*Table2[[#This Row],[pledged]]/Table2[[#This Row],[goal]]</f>
        <v>157.28571428571428</v>
      </c>
      <c r="G38" t="s">
        <v>20</v>
      </c>
      <c r="H38">
        <v>16</v>
      </c>
      <c r="I38" s="4">
        <f>IF(Table2[[#This Row],[pledged]]&gt;0,Table2[[#This Row],[pledged]]/Table2[[#This Row],[backers_count]],0)</f>
        <v>68.8125</v>
      </c>
      <c r="J38" t="s">
        <v>21</v>
      </c>
      <c r="K38" t="s">
        <v>22</v>
      </c>
      <c r="L38">
        <v>1298700000</v>
      </c>
      <c r="M38">
        <v>1300856400</v>
      </c>
      <c r="N38" s="8">
        <f t="shared" si="0"/>
        <v>40600.25</v>
      </c>
      <c r="O38" s="8">
        <f t="shared" si="1"/>
        <v>40625.208333333336</v>
      </c>
      <c r="P38" s="5">
        <f>_xlfn.DAYS(Table2[[#This Row],[Date Ended Conversion]],Table2[[#This Row],[Date Created Conversion]])+1</f>
        <v>26</v>
      </c>
      <c r="Q38" t="b">
        <v>0</v>
      </c>
      <c r="R38" t="b">
        <v>0</v>
      </c>
      <c r="S38" t="s">
        <v>33</v>
      </c>
      <c r="T38" t="str">
        <f>_xlfn.TEXTBEFORE(Table2[[#This Row],[category &amp; sub-category]],"/")</f>
        <v>theater</v>
      </c>
      <c r="U38" t="str">
        <f>_xlfn.TEXTAFTER(Table2[[#This Row],[category &amp; sub-category]],"/")</f>
        <v>plays</v>
      </c>
    </row>
    <row r="39" spans="1:21" ht="34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5">
        <f>100*Table2[[#This Row],[pledged]]/Table2[[#This Row],[goal]]</f>
        <v>139.98765432098764</v>
      </c>
      <c r="G39" t="s">
        <v>20</v>
      </c>
      <c r="H39">
        <v>107</v>
      </c>
      <c r="I39" s="4">
        <f>IF(Table2[[#This Row],[pledged]]&gt;0,Table2[[#This Row],[pledged]]/Table2[[#This Row],[backers_count]],0)</f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8">
        <f t="shared" si="0"/>
        <v>43744.208333333328</v>
      </c>
      <c r="O39" s="8">
        <f t="shared" si="1"/>
        <v>43777.25</v>
      </c>
      <c r="P39" s="5">
        <f>_xlfn.DAYS(Table2[[#This Row],[Date Ended Conversion]],Table2[[#This Row],[Date Created Conversion]])+1</f>
        <v>34</v>
      </c>
      <c r="Q39" t="b">
        <v>0</v>
      </c>
      <c r="R39" t="b">
        <v>1</v>
      </c>
      <c r="S39" t="s">
        <v>119</v>
      </c>
      <c r="T39" t="str">
        <f>_xlfn.TEXTBEFORE(Table2[[#This Row],[category &amp; sub-category]],"/")</f>
        <v>publishing</v>
      </c>
      <c r="U39" t="str">
        <f>_xlfn.TEXTAFTER(Table2[[#This Row],[category &amp; sub-category]],"/")</f>
        <v>fiction</v>
      </c>
    </row>
    <row r="40" spans="1:21" ht="17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5">
        <f>100*Table2[[#This Row],[pledged]]/Table2[[#This Row],[goal]]</f>
        <v>325.32258064516128</v>
      </c>
      <c r="G40" t="s">
        <v>20</v>
      </c>
      <c r="H40">
        <v>134</v>
      </c>
      <c r="I40" s="4">
        <f>IF(Table2[[#This Row],[pledged]]&gt;0,Table2[[#This Row],[pledged]]/Table2[[#This Row],[backers_count]],0)</f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8">
        <f t="shared" si="0"/>
        <v>40469.208333333336</v>
      </c>
      <c r="O40" s="8">
        <f t="shared" si="1"/>
        <v>40474.208333333336</v>
      </c>
      <c r="P40" s="5">
        <f>_xlfn.DAYS(Table2[[#This Row],[Date Ended Conversion]],Table2[[#This Row],[Date Created Conversion]])+1</f>
        <v>6</v>
      </c>
      <c r="Q40" t="b">
        <v>0</v>
      </c>
      <c r="R40" t="b">
        <v>0</v>
      </c>
      <c r="S40" t="s">
        <v>122</v>
      </c>
      <c r="T40" t="str">
        <f>_xlfn.TEXTBEFORE(Table2[[#This Row],[category &amp; sub-category]],"/")</f>
        <v>photography</v>
      </c>
      <c r="U40" t="str">
        <f>_xlfn.TEXTAFTER(Table2[[#This Row],[category &amp; sub-category]],"/")</f>
        <v>photography books</v>
      </c>
    </row>
    <row r="41" spans="1:21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5">
        <f>100*Table2[[#This Row],[pledged]]/Table2[[#This Row],[goal]]</f>
        <v>50.777777777777779</v>
      </c>
      <c r="G41" t="s">
        <v>14</v>
      </c>
      <c r="H41">
        <v>88</v>
      </c>
      <c r="I41" s="4">
        <f>IF(Table2[[#This Row],[pledged]]&gt;0,Table2[[#This Row],[pledged]]/Table2[[#This Row],[backers_count]],0)</f>
        <v>57.125</v>
      </c>
      <c r="J41" t="s">
        <v>36</v>
      </c>
      <c r="K41" t="s">
        <v>37</v>
      </c>
      <c r="L41">
        <v>1361772000</v>
      </c>
      <c r="M41">
        <v>1362978000</v>
      </c>
      <c r="N41" s="8">
        <f t="shared" si="0"/>
        <v>41330.25</v>
      </c>
      <c r="O41" s="8">
        <f t="shared" si="1"/>
        <v>41344.208333333336</v>
      </c>
      <c r="P41" s="5">
        <f>_xlfn.DAYS(Table2[[#This Row],[Date Ended Conversion]],Table2[[#This Row],[Date Created Conversion]])+1</f>
        <v>15</v>
      </c>
      <c r="Q41" t="b">
        <v>0</v>
      </c>
      <c r="R41" t="b">
        <v>0</v>
      </c>
      <c r="S41" t="s">
        <v>33</v>
      </c>
      <c r="T41" t="str">
        <f>_xlfn.TEXTBEFORE(Table2[[#This Row],[category &amp; sub-category]],"/")</f>
        <v>theater</v>
      </c>
      <c r="U41" t="str">
        <f>_xlfn.TEXTAFTER(Table2[[#This Row],[category &amp; sub-category]],"/")</f>
        <v>plays</v>
      </c>
    </row>
    <row r="42" spans="1:21" ht="17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5">
        <f>100*Table2[[#This Row],[pledged]]/Table2[[#This Row],[goal]]</f>
        <v>169.06818181818181</v>
      </c>
      <c r="G42" t="s">
        <v>20</v>
      </c>
      <c r="H42">
        <v>198</v>
      </c>
      <c r="I42" s="4">
        <f>IF(Table2[[#This Row],[pledged]]&gt;0,Table2[[#This Row],[pledged]]/Table2[[#This Row],[backers_count]],0)</f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8">
        <f t="shared" si="0"/>
        <v>40334.208333333336</v>
      </c>
      <c r="O42" s="8">
        <f t="shared" si="1"/>
        <v>40353.208333333336</v>
      </c>
      <c r="P42" s="5">
        <f>_xlfn.DAYS(Table2[[#This Row],[Date Ended Conversion]],Table2[[#This Row],[Date Created Conversion]])+1</f>
        <v>20</v>
      </c>
      <c r="Q42" t="b">
        <v>0</v>
      </c>
      <c r="R42" t="b">
        <v>1</v>
      </c>
      <c r="S42" t="s">
        <v>65</v>
      </c>
      <c r="T42" t="str">
        <f>_xlfn.TEXTBEFORE(Table2[[#This Row],[category &amp; sub-category]],"/")</f>
        <v>technology</v>
      </c>
      <c r="U42" t="str">
        <f>_xlfn.TEXTAFTER(Table2[[#This Row],[category &amp; sub-category]],"/")</f>
        <v>wearables</v>
      </c>
    </row>
    <row r="43" spans="1:21" ht="17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5">
        <f>100*Table2[[#This Row],[pledged]]/Table2[[#This Row],[goal]]</f>
        <v>212.92857142857142</v>
      </c>
      <c r="G43" t="s">
        <v>20</v>
      </c>
      <c r="H43">
        <v>111</v>
      </c>
      <c r="I43" s="4">
        <f>IF(Table2[[#This Row],[pledged]]&gt;0,Table2[[#This Row],[pledged]]/Table2[[#This Row],[backers_count]],0)</f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8">
        <f t="shared" si="0"/>
        <v>41156.208333333336</v>
      </c>
      <c r="O43" s="8">
        <f t="shared" si="1"/>
        <v>41182.208333333336</v>
      </c>
      <c r="P43" s="5">
        <f>_xlfn.DAYS(Table2[[#This Row],[Date Ended Conversion]],Table2[[#This Row],[Date Created Conversion]])+1</f>
        <v>27</v>
      </c>
      <c r="Q43" t="b">
        <v>0</v>
      </c>
      <c r="R43" t="b">
        <v>1</v>
      </c>
      <c r="S43" t="s">
        <v>23</v>
      </c>
      <c r="T43" t="str">
        <f>_xlfn.TEXTBEFORE(Table2[[#This Row],[category &amp; sub-category]],"/")</f>
        <v>music</v>
      </c>
      <c r="U43" t="str">
        <f>_xlfn.TEXTAFTER(Table2[[#This Row],[category &amp; sub-category]],"/")</f>
        <v>rock</v>
      </c>
    </row>
    <row r="44" spans="1:21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5">
        <f>100*Table2[[#This Row],[pledged]]/Table2[[#This Row],[goal]]</f>
        <v>443.94444444444446</v>
      </c>
      <c r="G44" t="s">
        <v>20</v>
      </c>
      <c r="H44">
        <v>222</v>
      </c>
      <c r="I44" s="4">
        <f>IF(Table2[[#This Row],[pledged]]&gt;0,Table2[[#This Row],[pledged]]/Table2[[#This Row],[backers_count]],0)</f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8">
        <f t="shared" si="0"/>
        <v>40728.208333333336</v>
      </c>
      <c r="O44" s="8">
        <f t="shared" si="1"/>
        <v>40737.208333333336</v>
      </c>
      <c r="P44" s="5">
        <f>_xlfn.DAYS(Table2[[#This Row],[Date Ended Conversion]],Table2[[#This Row],[Date Created Conversion]])+1</f>
        <v>10</v>
      </c>
      <c r="Q44" t="b">
        <v>0</v>
      </c>
      <c r="R44" t="b">
        <v>0</v>
      </c>
      <c r="S44" t="s">
        <v>17</v>
      </c>
      <c r="T44" t="str">
        <f>_xlfn.TEXTBEFORE(Table2[[#This Row],[category &amp; sub-category]],"/")</f>
        <v>food</v>
      </c>
      <c r="U44" t="str">
        <f>_xlfn.TEXTAFTER(Table2[[#This Row],[category &amp; sub-category]],"/")</f>
        <v>food trucks</v>
      </c>
    </row>
    <row r="45" spans="1:21" ht="17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5">
        <f>100*Table2[[#This Row],[pledged]]/Table2[[#This Row],[goal]]</f>
        <v>185.9390243902439</v>
      </c>
      <c r="G45" t="s">
        <v>20</v>
      </c>
      <c r="H45">
        <v>6212</v>
      </c>
      <c r="I45" s="4">
        <f>IF(Table2[[#This Row],[pledged]]&gt;0,Table2[[#This Row],[pledged]]/Table2[[#This Row],[backers_count]],0)</f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8">
        <f t="shared" si="0"/>
        <v>41844.208333333336</v>
      </c>
      <c r="O45" s="8">
        <f t="shared" si="1"/>
        <v>41860.208333333336</v>
      </c>
      <c r="P45" s="5">
        <f>_xlfn.DAYS(Table2[[#This Row],[Date Ended Conversion]],Table2[[#This Row],[Date Created Conversion]])+1</f>
        <v>17</v>
      </c>
      <c r="Q45" t="b">
        <v>0</v>
      </c>
      <c r="R45" t="b">
        <v>0</v>
      </c>
      <c r="S45" t="s">
        <v>133</v>
      </c>
      <c r="T45" t="str">
        <f>_xlfn.TEXTBEFORE(Table2[[#This Row],[category &amp; sub-category]],"/")</f>
        <v>publishing</v>
      </c>
      <c r="U45" t="str">
        <f>_xlfn.TEXTAFTER(Table2[[#This Row],[category &amp; sub-category]],"/")</f>
        <v>radio &amp; podcasts</v>
      </c>
    </row>
    <row r="46" spans="1:21" ht="17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5">
        <f>100*Table2[[#This Row],[pledged]]/Table2[[#This Row],[goal]]</f>
        <v>658.8125</v>
      </c>
      <c r="G46" t="s">
        <v>20</v>
      </c>
      <c r="H46">
        <v>98</v>
      </c>
      <c r="I46" s="4">
        <f>IF(Table2[[#This Row],[pledged]]&gt;0,Table2[[#This Row],[pledged]]/Table2[[#This Row],[backers_count]],0)</f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8">
        <f t="shared" si="0"/>
        <v>43541.208333333328</v>
      </c>
      <c r="O46" s="8">
        <f t="shared" si="1"/>
        <v>43542.208333333328</v>
      </c>
      <c r="P46" s="5">
        <f>_xlfn.DAYS(Table2[[#This Row],[Date Ended Conversion]],Table2[[#This Row],[Date Created Conversion]])+1</f>
        <v>2</v>
      </c>
      <c r="Q46" t="b">
        <v>0</v>
      </c>
      <c r="R46" t="b">
        <v>0</v>
      </c>
      <c r="S46" t="s">
        <v>119</v>
      </c>
      <c r="T46" t="str">
        <f>_xlfn.TEXTBEFORE(Table2[[#This Row],[category &amp; sub-category]],"/")</f>
        <v>publishing</v>
      </c>
      <c r="U46" t="str">
        <f>_xlfn.TEXTAFTER(Table2[[#This Row],[category &amp; sub-category]],"/")</f>
        <v>fiction</v>
      </c>
    </row>
    <row r="47" spans="1:21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5">
        <f>100*Table2[[#This Row],[pledged]]/Table2[[#This Row],[goal]]</f>
        <v>47.684210526315788</v>
      </c>
      <c r="G47" t="s">
        <v>14</v>
      </c>
      <c r="H47">
        <v>48</v>
      </c>
      <c r="I47" s="4">
        <f>IF(Table2[[#This Row],[pledged]]&gt;0,Table2[[#This Row],[pledged]]/Table2[[#This Row],[backers_count]],0)</f>
        <v>94.375</v>
      </c>
      <c r="J47" t="s">
        <v>21</v>
      </c>
      <c r="K47" t="s">
        <v>22</v>
      </c>
      <c r="L47">
        <v>1478062800</v>
      </c>
      <c r="M47">
        <v>1479362400</v>
      </c>
      <c r="N47" s="8">
        <f t="shared" si="0"/>
        <v>42676.208333333328</v>
      </c>
      <c r="O47" s="8">
        <f t="shared" si="1"/>
        <v>42691.25</v>
      </c>
      <c r="P47" s="5">
        <f>_xlfn.DAYS(Table2[[#This Row],[Date Ended Conversion]],Table2[[#This Row],[Date Created Conversion]])+1</f>
        <v>16</v>
      </c>
      <c r="Q47" t="b">
        <v>0</v>
      </c>
      <c r="R47" t="b">
        <v>1</v>
      </c>
      <c r="S47" t="s">
        <v>33</v>
      </c>
      <c r="T47" t="str">
        <f>_xlfn.TEXTBEFORE(Table2[[#This Row],[category &amp; sub-category]],"/")</f>
        <v>theater</v>
      </c>
      <c r="U47" t="str">
        <f>_xlfn.TEXTAFTER(Table2[[#This Row],[category &amp; sub-category]],"/")</f>
        <v>plays</v>
      </c>
    </row>
    <row r="48" spans="1:21" ht="17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5">
        <f>100*Table2[[#This Row],[pledged]]/Table2[[#This Row],[goal]]</f>
        <v>114.78378378378379</v>
      </c>
      <c r="G48" t="s">
        <v>20</v>
      </c>
      <c r="H48">
        <v>92</v>
      </c>
      <c r="I48" s="4">
        <f>IF(Table2[[#This Row],[pledged]]&gt;0,Table2[[#This Row],[pledged]]/Table2[[#This Row],[backers_count]],0)</f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8">
        <f t="shared" si="0"/>
        <v>40367.208333333336</v>
      </c>
      <c r="O48" s="8">
        <f t="shared" si="1"/>
        <v>40390.208333333336</v>
      </c>
      <c r="P48" s="5">
        <f>_xlfn.DAYS(Table2[[#This Row],[Date Ended Conversion]],Table2[[#This Row],[Date Created Conversion]])+1</f>
        <v>24</v>
      </c>
      <c r="Q48" t="b">
        <v>0</v>
      </c>
      <c r="R48" t="b">
        <v>0</v>
      </c>
      <c r="S48" t="s">
        <v>23</v>
      </c>
      <c r="T48" t="str">
        <f>_xlfn.TEXTBEFORE(Table2[[#This Row],[category &amp; sub-category]],"/")</f>
        <v>music</v>
      </c>
      <c r="U48" t="str">
        <f>_xlfn.TEXTAFTER(Table2[[#This Row],[category &amp; sub-category]],"/")</f>
        <v>rock</v>
      </c>
    </row>
    <row r="49" spans="1:21" ht="17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5">
        <f>100*Table2[[#This Row],[pledged]]/Table2[[#This Row],[goal]]</f>
        <v>475.26666666666665</v>
      </c>
      <c r="G49" t="s">
        <v>20</v>
      </c>
      <c r="H49">
        <v>149</v>
      </c>
      <c r="I49" s="4">
        <f>IF(Table2[[#This Row],[pledged]]&gt;0,Table2[[#This Row],[pledged]]/Table2[[#This Row],[backers_count]],0)</f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8">
        <f t="shared" si="0"/>
        <v>41727.208333333336</v>
      </c>
      <c r="O49" s="8">
        <f t="shared" si="1"/>
        <v>41757.208333333336</v>
      </c>
      <c r="P49" s="5">
        <f>_xlfn.DAYS(Table2[[#This Row],[Date Ended Conversion]],Table2[[#This Row],[Date Created Conversion]])+1</f>
        <v>31</v>
      </c>
      <c r="Q49" t="b">
        <v>0</v>
      </c>
      <c r="R49" t="b">
        <v>0</v>
      </c>
      <c r="S49" t="s">
        <v>33</v>
      </c>
      <c r="T49" t="str">
        <f>_xlfn.TEXTBEFORE(Table2[[#This Row],[category &amp; sub-category]],"/")</f>
        <v>theater</v>
      </c>
      <c r="U49" t="str">
        <f>_xlfn.TEXTAFTER(Table2[[#This Row],[category &amp; sub-category]],"/")</f>
        <v>plays</v>
      </c>
    </row>
    <row r="50" spans="1:21" ht="17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5">
        <f>100*Table2[[#This Row],[pledged]]/Table2[[#This Row],[goal]]</f>
        <v>386.97297297297297</v>
      </c>
      <c r="G50" t="s">
        <v>20</v>
      </c>
      <c r="H50">
        <v>2431</v>
      </c>
      <c r="I50" s="4">
        <f>IF(Table2[[#This Row],[pledged]]&gt;0,Table2[[#This Row],[pledged]]/Table2[[#This Row],[backers_count]],0)</f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8">
        <f t="shared" si="0"/>
        <v>42180.208333333328</v>
      </c>
      <c r="O50" s="8">
        <f t="shared" si="1"/>
        <v>42192.208333333328</v>
      </c>
      <c r="P50" s="5">
        <f>_xlfn.DAYS(Table2[[#This Row],[Date Ended Conversion]],Table2[[#This Row],[Date Created Conversion]])+1</f>
        <v>13</v>
      </c>
      <c r="Q50" t="b">
        <v>0</v>
      </c>
      <c r="R50" t="b">
        <v>0</v>
      </c>
      <c r="S50" t="s">
        <v>33</v>
      </c>
      <c r="T50" t="str">
        <f>_xlfn.TEXTBEFORE(Table2[[#This Row],[category &amp; sub-category]],"/")</f>
        <v>theater</v>
      </c>
      <c r="U50" t="str">
        <f>_xlfn.TEXTAFTER(Table2[[#This Row],[category &amp; sub-category]],"/")</f>
        <v>plays</v>
      </c>
    </row>
    <row r="51" spans="1:21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5">
        <f>100*Table2[[#This Row],[pledged]]/Table2[[#This Row],[goal]]</f>
        <v>189.625</v>
      </c>
      <c r="G51" t="s">
        <v>20</v>
      </c>
      <c r="H51">
        <v>303</v>
      </c>
      <c r="I51" s="4">
        <f>IF(Table2[[#This Row],[pledged]]&gt;0,Table2[[#This Row],[pledged]]/Table2[[#This Row],[backers_count]],0)</f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8">
        <f t="shared" si="0"/>
        <v>43758.208333333328</v>
      </c>
      <c r="O51" s="8">
        <f t="shared" si="1"/>
        <v>43803.25</v>
      </c>
      <c r="P51" s="5">
        <f>_xlfn.DAYS(Table2[[#This Row],[Date Ended Conversion]],Table2[[#This Row],[Date Created Conversion]])+1</f>
        <v>46</v>
      </c>
      <c r="Q51" t="b">
        <v>0</v>
      </c>
      <c r="R51" t="b">
        <v>0</v>
      </c>
      <c r="S51" t="s">
        <v>23</v>
      </c>
      <c r="T51" t="str">
        <f>_xlfn.TEXTBEFORE(Table2[[#This Row],[category &amp; sub-category]],"/")</f>
        <v>music</v>
      </c>
      <c r="U51" t="str">
        <f>_xlfn.TEXTAFTER(Table2[[#This Row],[category &amp; sub-category]],"/")</f>
        <v>rock</v>
      </c>
    </row>
    <row r="52" spans="1:21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 s="5">
        <f>100*Table2[[#This Row],[pledged]]/Table2[[#This Row],[goal]]</f>
        <v>2</v>
      </c>
      <c r="G52" t="s">
        <v>14</v>
      </c>
      <c r="H52">
        <v>1</v>
      </c>
      <c r="I52" s="4">
        <f>IF(Table2[[#This Row],[pledged]]&gt;0,Table2[[#This Row],[pledged]]/Table2[[#This Row],[backers_count]],0)</f>
        <v>2</v>
      </c>
      <c r="J52" t="s">
        <v>107</v>
      </c>
      <c r="K52" t="s">
        <v>108</v>
      </c>
      <c r="L52">
        <v>1375333200</v>
      </c>
      <c r="M52">
        <v>1377752400</v>
      </c>
      <c r="N52" s="8">
        <f t="shared" si="0"/>
        <v>41487.208333333336</v>
      </c>
      <c r="O52" s="8">
        <f t="shared" si="1"/>
        <v>41515.208333333336</v>
      </c>
      <c r="P52" s="5">
        <f>_xlfn.DAYS(Table2[[#This Row],[Date Ended Conversion]],Table2[[#This Row],[Date Created Conversion]])+1</f>
        <v>29</v>
      </c>
      <c r="Q52" t="b">
        <v>0</v>
      </c>
      <c r="R52" t="b">
        <v>0</v>
      </c>
      <c r="S52" t="s">
        <v>148</v>
      </c>
      <c r="T52" t="str">
        <f>_xlfn.TEXTBEFORE(Table2[[#This Row],[category &amp; sub-category]],"/")</f>
        <v>music</v>
      </c>
      <c r="U52" t="str">
        <f>_xlfn.TEXTAFTER(Table2[[#This Row],[category &amp; sub-category]],"/")</f>
        <v>metal</v>
      </c>
    </row>
    <row r="53" spans="1:21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5">
        <f>100*Table2[[#This Row],[pledged]]/Table2[[#This Row],[goal]]</f>
        <v>91.867805186590772</v>
      </c>
      <c r="G53" t="s">
        <v>14</v>
      </c>
      <c r="H53">
        <v>1467</v>
      </c>
      <c r="I53" s="4">
        <f>IF(Table2[[#This Row],[pledged]]&gt;0,Table2[[#This Row],[pledged]]/Table2[[#This Row],[backers_count]],0)</f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8">
        <f t="shared" si="0"/>
        <v>40995.208333333336</v>
      </c>
      <c r="O53" s="8">
        <f t="shared" si="1"/>
        <v>41011.208333333336</v>
      </c>
      <c r="P53" s="5">
        <f>_xlfn.DAYS(Table2[[#This Row],[Date Ended Conversion]],Table2[[#This Row],[Date Created Conversion]])+1</f>
        <v>17</v>
      </c>
      <c r="Q53" t="b">
        <v>0</v>
      </c>
      <c r="R53" t="b">
        <v>1</v>
      </c>
      <c r="S53" t="s">
        <v>65</v>
      </c>
      <c r="T53" t="str">
        <f>_xlfn.TEXTBEFORE(Table2[[#This Row],[category &amp; sub-category]],"/")</f>
        <v>technology</v>
      </c>
      <c r="U53" t="str">
        <f>_xlfn.TEXTAFTER(Table2[[#This Row],[category &amp; sub-category]],"/")</f>
        <v>wearables</v>
      </c>
    </row>
    <row r="54" spans="1:21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5">
        <f>100*Table2[[#This Row],[pledged]]/Table2[[#This Row],[goal]]</f>
        <v>34.152777777777779</v>
      </c>
      <c r="G54" t="s">
        <v>14</v>
      </c>
      <c r="H54">
        <v>75</v>
      </c>
      <c r="I54" s="4">
        <f>IF(Table2[[#This Row],[pledged]]&gt;0,Table2[[#This Row],[pledged]]/Table2[[#This Row],[backers_count]],0)</f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8">
        <f t="shared" si="0"/>
        <v>40436.208333333336</v>
      </c>
      <c r="O54" s="8">
        <f t="shared" si="1"/>
        <v>40440.208333333336</v>
      </c>
      <c r="P54" s="5">
        <f>_xlfn.DAYS(Table2[[#This Row],[Date Ended Conversion]],Table2[[#This Row],[Date Created Conversion]])+1</f>
        <v>5</v>
      </c>
      <c r="Q54" t="b">
        <v>0</v>
      </c>
      <c r="R54" t="b">
        <v>0</v>
      </c>
      <c r="S54" t="s">
        <v>33</v>
      </c>
      <c r="T54" t="str">
        <f>_xlfn.TEXTBEFORE(Table2[[#This Row],[category &amp; sub-category]],"/")</f>
        <v>theater</v>
      </c>
      <c r="U54" t="str">
        <f>_xlfn.TEXTAFTER(Table2[[#This Row],[category &amp; sub-category]],"/")</f>
        <v>plays</v>
      </c>
    </row>
    <row r="55" spans="1:21" ht="17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5">
        <f>100*Table2[[#This Row],[pledged]]/Table2[[#This Row],[goal]]</f>
        <v>140.40909090909091</v>
      </c>
      <c r="G55" t="s">
        <v>20</v>
      </c>
      <c r="H55">
        <v>209</v>
      </c>
      <c r="I55" s="4">
        <f>IF(Table2[[#This Row],[pledged]]&gt;0,Table2[[#This Row],[pledged]]/Table2[[#This Row],[backers_count]],0)</f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8">
        <f t="shared" si="0"/>
        <v>41779.208333333336</v>
      </c>
      <c r="O55" s="8">
        <f t="shared" si="1"/>
        <v>41818.208333333336</v>
      </c>
      <c r="P55" s="5">
        <f>_xlfn.DAYS(Table2[[#This Row],[Date Ended Conversion]],Table2[[#This Row],[Date Created Conversion]])+1</f>
        <v>40</v>
      </c>
      <c r="Q55" t="b">
        <v>0</v>
      </c>
      <c r="R55" t="b">
        <v>0</v>
      </c>
      <c r="S55" t="s">
        <v>53</v>
      </c>
      <c r="T55" t="str">
        <f>_xlfn.TEXTBEFORE(Table2[[#This Row],[category &amp; sub-category]],"/")</f>
        <v>film &amp; video</v>
      </c>
      <c r="U55" t="str">
        <f>_xlfn.TEXTAFTER(Table2[[#This Row],[category &amp; sub-category]],"/")</f>
        <v>drama</v>
      </c>
    </row>
    <row r="56" spans="1:21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5">
        <f>100*Table2[[#This Row],[pledged]]/Table2[[#This Row],[goal]]</f>
        <v>89.86666666666666</v>
      </c>
      <c r="G56" t="s">
        <v>14</v>
      </c>
      <c r="H56">
        <v>120</v>
      </c>
      <c r="I56" s="4">
        <f>IF(Table2[[#This Row],[pledged]]&gt;0,Table2[[#This Row],[pledged]]/Table2[[#This Row],[backers_count]],0)</f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8">
        <f t="shared" si="0"/>
        <v>43170.25</v>
      </c>
      <c r="O56" s="8">
        <f t="shared" si="1"/>
        <v>43176.208333333328</v>
      </c>
      <c r="P56" s="5">
        <f>_xlfn.DAYS(Table2[[#This Row],[Date Ended Conversion]],Table2[[#This Row],[Date Created Conversion]])+1</f>
        <v>7</v>
      </c>
      <c r="Q56" t="b">
        <v>0</v>
      </c>
      <c r="R56" t="b">
        <v>0</v>
      </c>
      <c r="S56" t="s">
        <v>65</v>
      </c>
      <c r="T56" t="str">
        <f>_xlfn.TEXTBEFORE(Table2[[#This Row],[category &amp; sub-category]],"/")</f>
        <v>technology</v>
      </c>
      <c r="U56" t="str">
        <f>_xlfn.TEXTAFTER(Table2[[#This Row],[category &amp; sub-category]],"/")</f>
        <v>wearables</v>
      </c>
    </row>
    <row r="57" spans="1:21" ht="34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5">
        <f>100*Table2[[#This Row],[pledged]]/Table2[[#This Row],[goal]]</f>
        <v>177.96969696969697</v>
      </c>
      <c r="G57" t="s">
        <v>20</v>
      </c>
      <c r="H57">
        <v>131</v>
      </c>
      <c r="I57" s="4">
        <f>IF(Table2[[#This Row],[pledged]]&gt;0,Table2[[#This Row],[pledged]]/Table2[[#This Row],[backers_count]],0)</f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8">
        <f t="shared" si="0"/>
        <v>43311.208333333328</v>
      </c>
      <c r="O57" s="8">
        <f t="shared" si="1"/>
        <v>43316.208333333328</v>
      </c>
      <c r="P57" s="5">
        <f>_xlfn.DAYS(Table2[[#This Row],[Date Ended Conversion]],Table2[[#This Row],[Date Created Conversion]])+1</f>
        <v>6</v>
      </c>
      <c r="Q57" t="b">
        <v>0</v>
      </c>
      <c r="R57" t="b">
        <v>0</v>
      </c>
      <c r="S57" t="s">
        <v>159</v>
      </c>
      <c r="T57" t="str">
        <f>_xlfn.TEXTBEFORE(Table2[[#This Row],[category &amp; sub-category]],"/")</f>
        <v>music</v>
      </c>
      <c r="U57" t="str">
        <f>_xlfn.TEXTAFTER(Table2[[#This Row],[category &amp; sub-category]],"/")</f>
        <v>jazz</v>
      </c>
    </row>
    <row r="58" spans="1:21" ht="34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5">
        <f>100*Table2[[#This Row],[pledged]]/Table2[[#This Row],[goal]]</f>
        <v>143.66249999999999</v>
      </c>
      <c r="G58" t="s">
        <v>20</v>
      </c>
      <c r="H58">
        <v>164</v>
      </c>
      <c r="I58" s="4">
        <f>IF(Table2[[#This Row],[pledged]]&gt;0,Table2[[#This Row],[pledged]]/Table2[[#This Row],[backers_count]],0)</f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8">
        <f t="shared" si="0"/>
        <v>42014.25</v>
      </c>
      <c r="O58" s="8">
        <f t="shared" si="1"/>
        <v>42021.25</v>
      </c>
      <c r="P58" s="5">
        <f>_xlfn.DAYS(Table2[[#This Row],[Date Ended Conversion]],Table2[[#This Row],[Date Created Conversion]])+1</f>
        <v>8</v>
      </c>
      <c r="Q58" t="b">
        <v>0</v>
      </c>
      <c r="R58" t="b">
        <v>0</v>
      </c>
      <c r="S58" t="s">
        <v>65</v>
      </c>
      <c r="T58" t="str">
        <f>_xlfn.TEXTBEFORE(Table2[[#This Row],[category &amp; sub-category]],"/")</f>
        <v>technology</v>
      </c>
      <c r="U58" t="str">
        <f>_xlfn.TEXTAFTER(Table2[[#This Row],[category &amp; sub-category]],"/")</f>
        <v>wearables</v>
      </c>
    </row>
    <row r="59" spans="1:21" ht="17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5">
        <f>100*Table2[[#This Row],[pledged]]/Table2[[#This Row],[goal]]</f>
        <v>215.27586206896552</v>
      </c>
      <c r="G59" t="s">
        <v>20</v>
      </c>
      <c r="H59">
        <v>201</v>
      </c>
      <c r="I59" s="4">
        <f>IF(Table2[[#This Row],[pledged]]&gt;0,Table2[[#This Row],[pledged]]/Table2[[#This Row],[backers_count]],0)</f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8">
        <f t="shared" si="0"/>
        <v>42979.208333333328</v>
      </c>
      <c r="O59" s="8">
        <f t="shared" si="1"/>
        <v>42991.208333333328</v>
      </c>
      <c r="P59" s="5">
        <f>_xlfn.DAYS(Table2[[#This Row],[Date Ended Conversion]],Table2[[#This Row],[Date Created Conversion]])+1</f>
        <v>13</v>
      </c>
      <c r="Q59" t="b">
        <v>0</v>
      </c>
      <c r="R59" t="b">
        <v>0</v>
      </c>
      <c r="S59" t="s">
        <v>89</v>
      </c>
      <c r="T59" t="str">
        <f>_xlfn.TEXTBEFORE(Table2[[#This Row],[category &amp; sub-category]],"/")</f>
        <v>games</v>
      </c>
      <c r="U59" t="str">
        <f>_xlfn.TEXTAFTER(Table2[[#This Row],[category &amp; sub-category]],"/")</f>
        <v>video games</v>
      </c>
    </row>
    <row r="60" spans="1:21" ht="17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5">
        <f>100*Table2[[#This Row],[pledged]]/Table2[[#This Row],[goal]]</f>
        <v>227.11111111111111</v>
      </c>
      <c r="G60" t="s">
        <v>20</v>
      </c>
      <c r="H60">
        <v>211</v>
      </c>
      <c r="I60" s="4">
        <f>IF(Table2[[#This Row],[pledged]]&gt;0,Table2[[#This Row],[pledged]]/Table2[[#This Row],[backers_count]],0)</f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8">
        <f t="shared" si="0"/>
        <v>42268.208333333328</v>
      </c>
      <c r="O60" s="8">
        <f t="shared" si="1"/>
        <v>42281.208333333328</v>
      </c>
      <c r="P60" s="5">
        <f>_xlfn.DAYS(Table2[[#This Row],[Date Ended Conversion]],Table2[[#This Row],[Date Created Conversion]])+1</f>
        <v>14</v>
      </c>
      <c r="Q60" t="b">
        <v>0</v>
      </c>
      <c r="R60" t="b">
        <v>0</v>
      </c>
      <c r="S60" t="s">
        <v>33</v>
      </c>
      <c r="T60" t="str">
        <f>_xlfn.TEXTBEFORE(Table2[[#This Row],[category &amp; sub-category]],"/")</f>
        <v>theater</v>
      </c>
      <c r="U60" t="str">
        <f>_xlfn.TEXTAFTER(Table2[[#This Row],[category &amp; sub-category]],"/")</f>
        <v>plays</v>
      </c>
    </row>
    <row r="61" spans="1:21" ht="17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5">
        <f>100*Table2[[#This Row],[pledged]]/Table2[[#This Row],[goal]]</f>
        <v>275.07142857142856</v>
      </c>
      <c r="G61" t="s">
        <v>20</v>
      </c>
      <c r="H61">
        <v>128</v>
      </c>
      <c r="I61" s="4">
        <f>IF(Table2[[#This Row],[pledged]]&gt;0,Table2[[#This Row],[pledged]]/Table2[[#This Row],[backers_count]],0)</f>
        <v>30.0859375</v>
      </c>
      <c r="J61" t="s">
        <v>21</v>
      </c>
      <c r="K61" t="s">
        <v>22</v>
      </c>
      <c r="L61">
        <v>1497243600</v>
      </c>
      <c r="M61">
        <v>1498539600</v>
      </c>
      <c r="N61" s="8">
        <f t="shared" si="0"/>
        <v>42898.208333333328</v>
      </c>
      <c r="O61" s="8">
        <f t="shared" si="1"/>
        <v>42913.208333333328</v>
      </c>
      <c r="P61" s="5">
        <f>_xlfn.DAYS(Table2[[#This Row],[Date Ended Conversion]],Table2[[#This Row],[Date Created Conversion]])+1</f>
        <v>16</v>
      </c>
      <c r="Q61" t="b">
        <v>0</v>
      </c>
      <c r="R61" t="b">
        <v>1</v>
      </c>
      <c r="S61" t="s">
        <v>33</v>
      </c>
      <c r="T61" t="str">
        <f>_xlfn.TEXTBEFORE(Table2[[#This Row],[category &amp; sub-category]],"/")</f>
        <v>theater</v>
      </c>
      <c r="U61" t="str">
        <f>_xlfn.TEXTAFTER(Table2[[#This Row],[category &amp; sub-category]],"/")</f>
        <v>plays</v>
      </c>
    </row>
    <row r="62" spans="1:21" ht="17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5">
        <f>100*Table2[[#This Row],[pledged]]/Table2[[#This Row],[goal]]</f>
        <v>144.37048832271762</v>
      </c>
      <c r="G62" t="s">
        <v>20</v>
      </c>
      <c r="H62">
        <v>1600</v>
      </c>
      <c r="I62" s="4">
        <f>IF(Table2[[#This Row],[pledged]]&gt;0,Table2[[#This Row],[pledged]]/Table2[[#This Row],[backers_count]],0)</f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8">
        <f t="shared" si="0"/>
        <v>41107.208333333336</v>
      </c>
      <c r="O62" s="8">
        <f t="shared" si="1"/>
        <v>41110.208333333336</v>
      </c>
      <c r="P62" s="5">
        <f>_xlfn.DAYS(Table2[[#This Row],[Date Ended Conversion]],Table2[[#This Row],[Date Created Conversion]])+1</f>
        <v>4</v>
      </c>
      <c r="Q62" t="b">
        <v>0</v>
      </c>
      <c r="R62" t="b">
        <v>0</v>
      </c>
      <c r="S62" t="s">
        <v>33</v>
      </c>
      <c r="T62" t="str">
        <f>_xlfn.TEXTBEFORE(Table2[[#This Row],[category &amp; sub-category]],"/")</f>
        <v>theater</v>
      </c>
      <c r="U62" t="str">
        <f>_xlfn.TEXTAFTER(Table2[[#This Row],[category &amp; sub-category]],"/")</f>
        <v>plays</v>
      </c>
    </row>
    <row r="63" spans="1:21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5">
        <f>100*Table2[[#This Row],[pledged]]/Table2[[#This Row],[goal]]</f>
        <v>92.74598393574297</v>
      </c>
      <c r="G63" t="s">
        <v>14</v>
      </c>
      <c r="H63">
        <v>2253</v>
      </c>
      <c r="I63" s="4">
        <f>IF(Table2[[#This Row],[pledged]]&gt;0,Table2[[#This Row],[pledged]]/Table2[[#This Row],[backers_count]],0)</f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8">
        <f t="shared" si="0"/>
        <v>40595.25</v>
      </c>
      <c r="O63" s="8">
        <f t="shared" si="1"/>
        <v>40635.208333333336</v>
      </c>
      <c r="P63" s="5">
        <f>_xlfn.DAYS(Table2[[#This Row],[Date Ended Conversion]],Table2[[#This Row],[Date Created Conversion]])+1</f>
        <v>41</v>
      </c>
      <c r="Q63" t="b">
        <v>0</v>
      </c>
      <c r="R63" t="b">
        <v>0</v>
      </c>
      <c r="S63" t="s">
        <v>33</v>
      </c>
      <c r="T63" t="str">
        <f>_xlfn.TEXTBEFORE(Table2[[#This Row],[category &amp; sub-category]],"/")</f>
        <v>theater</v>
      </c>
      <c r="U63" t="str">
        <f>_xlfn.TEXTAFTER(Table2[[#This Row],[category &amp; sub-category]],"/")</f>
        <v>plays</v>
      </c>
    </row>
    <row r="64" spans="1:21" ht="34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5">
        <f>100*Table2[[#This Row],[pledged]]/Table2[[#This Row],[goal]]</f>
        <v>722.6</v>
      </c>
      <c r="G64" t="s">
        <v>20</v>
      </c>
      <c r="H64">
        <v>249</v>
      </c>
      <c r="I64" s="4">
        <f>IF(Table2[[#This Row],[pledged]]&gt;0,Table2[[#This Row],[pledged]]/Table2[[#This Row],[backers_count]],0)</f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8">
        <f t="shared" si="0"/>
        <v>42160.208333333328</v>
      </c>
      <c r="O64" s="8">
        <f t="shared" si="1"/>
        <v>42161.208333333328</v>
      </c>
      <c r="P64" s="5">
        <f>_xlfn.DAYS(Table2[[#This Row],[Date Ended Conversion]],Table2[[#This Row],[Date Created Conversion]])+1</f>
        <v>2</v>
      </c>
      <c r="Q64" t="b">
        <v>0</v>
      </c>
      <c r="R64" t="b">
        <v>0</v>
      </c>
      <c r="S64" t="s">
        <v>28</v>
      </c>
      <c r="T64" t="str">
        <f>_xlfn.TEXTBEFORE(Table2[[#This Row],[category &amp; sub-category]],"/")</f>
        <v>technology</v>
      </c>
      <c r="U64" t="str">
        <f>_xlfn.TEXTAFTER(Table2[[#This Row],[category &amp; sub-category]],"/")</f>
        <v>web</v>
      </c>
    </row>
    <row r="65" spans="1:21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5">
        <f>100*Table2[[#This Row],[pledged]]/Table2[[#This Row],[goal]]</f>
        <v>11.851063829787234</v>
      </c>
      <c r="G65" t="s">
        <v>14</v>
      </c>
      <c r="H65">
        <v>5</v>
      </c>
      <c r="I65" s="4">
        <f>IF(Table2[[#This Row],[pledged]]&gt;0,Table2[[#This Row],[pledged]]/Table2[[#This Row],[backers_count]],0)</f>
        <v>111.4</v>
      </c>
      <c r="J65" t="s">
        <v>21</v>
      </c>
      <c r="K65" t="s">
        <v>22</v>
      </c>
      <c r="L65">
        <v>1493355600</v>
      </c>
      <c r="M65">
        <v>1493874000</v>
      </c>
      <c r="N65" s="8">
        <f t="shared" si="0"/>
        <v>42853.208333333328</v>
      </c>
      <c r="O65" s="8">
        <f t="shared" si="1"/>
        <v>42859.208333333328</v>
      </c>
      <c r="P65" s="5">
        <f>_xlfn.DAYS(Table2[[#This Row],[Date Ended Conversion]],Table2[[#This Row],[Date Created Conversion]])+1</f>
        <v>7</v>
      </c>
      <c r="Q65" t="b">
        <v>0</v>
      </c>
      <c r="R65" t="b">
        <v>0</v>
      </c>
      <c r="S65" t="s">
        <v>33</v>
      </c>
      <c r="T65" t="str">
        <f>_xlfn.TEXTBEFORE(Table2[[#This Row],[category &amp; sub-category]],"/")</f>
        <v>theater</v>
      </c>
      <c r="U65" t="str">
        <f>_xlfn.TEXTAFTER(Table2[[#This Row],[category &amp; sub-category]],"/")</f>
        <v>plays</v>
      </c>
    </row>
    <row r="66" spans="1:21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5">
        <f>100*Table2[[#This Row],[pledged]]/Table2[[#This Row],[goal]]</f>
        <v>97.642857142857139</v>
      </c>
      <c r="G66" t="s">
        <v>14</v>
      </c>
      <c r="H66">
        <v>38</v>
      </c>
      <c r="I66" s="4">
        <f>IF(Table2[[#This Row],[pledged]]&gt;0,Table2[[#This Row],[pledged]]/Table2[[#This Row],[backers_count]],0)</f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8">
        <f t="shared" ref="N66:N129" si="2">(((L66/60)/60)/24)+DATE(1970,1,1)</f>
        <v>43283.208333333328</v>
      </c>
      <c r="O66" s="8">
        <f t="shared" ref="O66:O129" si="3">(((M66/60)/60)/24)+DATE(1970,1,1)</f>
        <v>43298.208333333328</v>
      </c>
      <c r="P66" s="5">
        <f>_xlfn.DAYS(Table2[[#This Row],[Date Ended Conversion]],Table2[[#This Row],[Date Created Conversion]])+1</f>
        <v>16</v>
      </c>
      <c r="Q66" t="b">
        <v>0</v>
      </c>
      <c r="R66" t="b">
        <v>1</v>
      </c>
      <c r="S66" t="s">
        <v>28</v>
      </c>
      <c r="T66" t="str">
        <f>_xlfn.TEXTBEFORE(Table2[[#This Row],[category &amp; sub-category]],"/")</f>
        <v>technology</v>
      </c>
      <c r="U66" t="str">
        <f>_xlfn.TEXTAFTER(Table2[[#This Row],[category &amp; sub-category]],"/")</f>
        <v>web</v>
      </c>
    </row>
    <row r="67" spans="1:21" ht="17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5">
        <f>100*Table2[[#This Row],[pledged]]/Table2[[#This Row],[goal]]</f>
        <v>236.14754098360655</v>
      </c>
      <c r="G67" t="s">
        <v>20</v>
      </c>
      <c r="H67">
        <v>236</v>
      </c>
      <c r="I67" s="4">
        <f>IF(Table2[[#This Row],[pledged]]&gt;0,Table2[[#This Row],[pledged]]/Table2[[#This Row],[backers_count]],0)</f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8">
        <f t="shared" si="2"/>
        <v>40570.25</v>
      </c>
      <c r="O67" s="8">
        <f t="shared" si="3"/>
        <v>40577.25</v>
      </c>
      <c r="P67" s="5">
        <f>_xlfn.DAYS(Table2[[#This Row],[Date Ended Conversion]],Table2[[#This Row],[Date Created Conversion]])+1</f>
        <v>8</v>
      </c>
      <c r="Q67" t="b">
        <v>0</v>
      </c>
      <c r="R67" t="b">
        <v>0</v>
      </c>
      <c r="S67" t="s">
        <v>33</v>
      </c>
      <c r="T67" t="str">
        <f>_xlfn.TEXTBEFORE(Table2[[#This Row],[category &amp; sub-category]],"/")</f>
        <v>theater</v>
      </c>
      <c r="U67" t="str">
        <f>_xlfn.TEXTAFTER(Table2[[#This Row],[category &amp; sub-category]],"/")</f>
        <v>plays</v>
      </c>
    </row>
    <row r="68" spans="1:21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5">
        <f>100*Table2[[#This Row],[pledged]]/Table2[[#This Row],[goal]]</f>
        <v>45.068965517241381</v>
      </c>
      <c r="G68" t="s">
        <v>14</v>
      </c>
      <c r="H68">
        <v>12</v>
      </c>
      <c r="I68" s="4">
        <f>IF(Table2[[#This Row],[pledged]]&gt;0,Table2[[#This Row],[pledged]]/Table2[[#This Row],[backers_count]],0)</f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8">
        <f t="shared" si="2"/>
        <v>42102.208333333328</v>
      </c>
      <c r="O68" s="8">
        <f t="shared" si="3"/>
        <v>42107.208333333328</v>
      </c>
      <c r="P68" s="5">
        <f>_xlfn.DAYS(Table2[[#This Row],[Date Ended Conversion]],Table2[[#This Row],[Date Created Conversion]])+1</f>
        <v>6</v>
      </c>
      <c r="Q68" t="b">
        <v>0</v>
      </c>
      <c r="R68" t="b">
        <v>1</v>
      </c>
      <c r="S68" t="s">
        <v>33</v>
      </c>
      <c r="T68" t="str">
        <f>_xlfn.TEXTBEFORE(Table2[[#This Row],[category &amp; sub-category]],"/")</f>
        <v>theater</v>
      </c>
      <c r="U68" t="str">
        <f>_xlfn.TEXTAFTER(Table2[[#This Row],[category &amp; sub-category]],"/")</f>
        <v>plays</v>
      </c>
    </row>
    <row r="69" spans="1:21" ht="34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5">
        <f>100*Table2[[#This Row],[pledged]]/Table2[[#This Row],[goal]]</f>
        <v>162.38567493112947</v>
      </c>
      <c r="G69" t="s">
        <v>20</v>
      </c>
      <c r="H69">
        <v>4065</v>
      </c>
      <c r="I69" s="4">
        <f>IF(Table2[[#This Row],[pledged]]&gt;0,Table2[[#This Row],[pledged]]/Table2[[#This Row],[backers_count]],0)</f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8">
        <f t="shared" si="2"/>
        <v>40203.25</v>
      </c>
      <c r="O69" s="8">
        <f t="shared" si="3"/>
        <v>40208.25</v>
      </c>
      <c r="P69" s="5">
        <f>_xlfn.DAYS(Table2[[#This Row],[Date Ended Conversion]],Table2[[#This Row],[Date Created Conversion]])+1</f>
        <v>6</v>
      </c>
      <c r="Q69" t="b">
        <v>0</v>
      </c>
      <c r="R69" t="b">
        <v>1</v>
      </c>
      <c r="S69" t="s">
        <v>65</v>
      </c>
      <c r="T69" t="str">
        <f>_xlfn.TEXTBEFORE(Table2[[#This Row],[category &amp; sub-category]],"/")</f>
        <v>technology</v>
      </c>
      <c r="U69" t="str">
        <f>_xlfn.TEXTAFTER(Table2[[#This Row],[category &amp; sub-category]],"/")</f>
        <v>wearables</v>
      </c>
    </row>
    <row r="70" spans="1:21" ht="17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5">
        <f>100*Table2[[#This Row],[pledged]]/Table2[[#This Row],[goal]]</f>
        <v>254.52631578947367</v>
      </c>
      <c r="G70" t="s">
        <v>20</v>
      </c>
      <c r="H70">
        <v>246</v>
      </c>
      <c r="I70" s="4">
        <f>IF(Table2[[#This Row],[pledged]]&gt;0,Table2[[#This Row],[pledged]]/Table2[[#This Row],[backers_count]],0)</f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8">
        <f t="shared" si="2"/>
        <v>42943.208333333328</v>
      </c>
      <c r="O70" s="8">
        <f t="shared" si="3"/>
        <v>42990.208333333328</v>
      </c>
      <c r="P70" s="5">
        <f>_xlfn.DAYS(Table2[[#This Row],[Date Ended Conversion]],Table2[[#This Row],[Date Created Conversion]])+1</f>
        <v>48</v>
      </c>
      <c r="Q70" t="b">
        <v>0</v>
      </c>
      <c r="R70" t="b">
        <v>1</v>
      </c>
      <c r="S70" t="s">
        <v>33</v>
      </c>
      <c r="T70" t="str">
        <f>_xlfn.TEXTBEFORE(Table2[[#This Row],[category &amp; sub-category]],"/")</f>
        <v>theater</v>
      </c>
      <c r="U70" t="str">
        <f>_xlfn.TEXTAFTER(Table2[[#This Row],[category &amp; sub-category]],"/")</f>
        <v>plays</v>
      </c>
    </row>
    <row r="71" spans="1:21" ht="17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5">
        <f>100*Table2[[#This Row],[pledged]]/Table2[[#This Row],[goal]]</f>
        <v>24.063291139240505</v>
      </c>
      <c r="G71" t="s">
        <v>74</v>
      </c>
      <c r="H71">
        <v>17</v>
      </c>
      <c r="I71" s="4">
        <f>IF(Table2[[#This Row],[pledged]]&gt;0,Table2[[#This Row],[pledged]]/Table2[[#This Row],[backers_count]],0)</f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8">
        <f t="shared" si="2"/>
        <v>40531.25</v>
      </c>
      <c r="O71" s="8">
        <f t="shared" si="3"/>
        <v>40565.25</v>
      </c>
      <c r="P71" s="5">
        <f>_xlfn.DAYS(Table2[[#This Row],[Date Ended Conversion]],Table2[[#This Row],[Date Created Conversion]])+1</f>
        <v>35</v>
      </c>
      <c r="Q71" t="b">
        <v>0</v>
      </c>
      <c r="R71" t="b">
        <v>0</v>
      </c>
      <c r="S71" t="s">
        <v>33</v>
      </c>
      <c r="T71" t="str">
        <f>_xlfn.TEXTBEFORE(Table2[[#This Row],[category &amp; sub-category]],"/")</f>
        <v>theater</v>
      </c>
      <c r="U71" t="str">
        <f>_xlfn.TEXTAFTER(Table2[[#This Row],[category &amp; sub-category]],"/")</f>
        <v>plays</v>
      </c>
    </row>
    <row r="72" spans="1:21" ht="17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5">
        <f>100*Table2[[#This Row],[pledged]]/Table2[[#This Row],[goal]]</f>
        <v>123.74140625</v>
      </c>
      <c r="G72" t="s">
        <v>20</v>
      </c>
      <c r="H72">
        <v>2475</v>
      </c>
      <c r="I72" s="4">
        <f>IF(Table2[[#This Row],[pledged]]&gt;0,Table2[[#This Row],[pledged]]/Table2[[#This Row],[backers_count]],0)</f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8">
        <f t="shared" si="2"/>
        <v>40484.208333333336</v>
      </c>
      <c r="O72" s="8">
        <f t="shared" si="3"/>
        <v>40533.25</v>
      </c>
      <c r="P72" s="5">
        <f>_xlfn.DAYS(Table2[[#This Row],[Date Ended Conversion]],Table2[[#This Row],[Date Created Conversion]])+1</f>
        <v>50</v>
      </c>
      <c r="Q72" t="b">
        <v>0</v>
      </c>
      <c r="R72" t="b">
        <v>1</v>
      </c>
      <c r="S72" t="s">
        <v>33</v>
      </c>
      <c r="T72" t="str">
        <f>_xlfn.TEXTBEFORE(Table2[[#This Row],[category &amp; sub-category]],"/")</f>
        <v>theater</v>
      </c>
      <c r="U72" t="str">
        <f>_xlfn.TEXTAFTER(Table2[[#This Row],[category &amp; sub-category]],"/")</f>
        <v>plays</v>
      </c>
    </row>
    <row r="73" spans="1:21" ht="34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5">
        <f>100*Table2[[#This Row],[pledged]]/Table2[[#This Row],[goal]]</f>
        <v>108.06666666666666</v>
      </c>
      <c r="G73" t="s">
        <v>20</v>
      </c>
      <c r="H73">
        <v>76</v>
      </c>
      <c r="I73" s="4">
        <f>IF(Table2[[#This Row],[pledged]]&gt;0,Table2[[#This Row],[pledged]]/Table2[[#This Row],[backers_count]],0)</f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8">
        <f t="shared" si="2"/>
        <v>43799.25</v>
      </c>
      <c r="O73" s="8">
        <f t="shared" si="3"/>
        <v>43803.25</v>
      </c>
      <c r="P73" s="5">
        <f>_xlfn.DAYS(Table2[[#This Row],[Date Ended Conversion]],Table2[[#This Row],[Date Created Conversion]])+1</f>
        <v>5</v>
      </c>
      <c r="Q73" t="b">
        <v>0</v>
      </c>
      <c r="R73" t="b">
        <v>0</v>
      </c>
      <c r="S73" t="s">
        <v>33</v>
      </c>
      <c r="T73" t="str">
        <f>_xlfn.TEXTBEFORE(Table2[[#This Row],[category &amp; sub-category]],"/")</f>
        <v>theater</v>
      </c>
      <c r="U73" t="str">
        <f>_xlfn.TEXTAFTER(Table2[[#This Row],[category &amp; sub-category]],"/")</f>
        <v>plays</v>
      </c>
    </row>
    <row r="74" spans="1:21" ht="17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5">
        <f>100*Table2[[#This Row],[pledged]]/Table2[[#This Row],[goal]]</f>
        <v>670.33333333333337</v>
      </c>
      <c r="G74" t="s">
        <v>20</v>
      </c>
      <c r="H74">
        <v>54</v>
      </c>
      <c r="I74" s="4">
        <f>IF(Table2[[#This Row],[pledged]]&gt;0,Table2[[#This Row],[pledged]]/Table2[[#This Row],[backers_count]],0)</f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8">
        <f t="shared" si="2"/>
        <v>42186.208333333328</v>
      </c>
      <c r="O74" s="8">
        <f t="shared" si="3"/>
        <v>42222.208333333328</v>
      </c>
      <c r="P74" s="5">
        <f>_xlfn.DAYS(Table2[[#This Row],[Date Ended Conversion]],Table2[[#This Row],[Date Created Conversion]])+1</f>
        <v>37</v>
      </c>
      <c r="Q74" t="b">
        <v>0</v>
      </c>
      <c r="R74" t="b">
        <v>0</v>
      </c>
      <c r="S74" t="s">
        <v>71</v>
      </c>
      <c r="T74" t="str">
        <f>_xlfn.TEXTBEFORE(Table2[[#This Row],[category &amp; sub-category]],"/")</f>
        <v>film &amp; video</v>
      </c>
      <c r="U74" t="str">
        <f>_xlfn.TEXTAFTER(Table2[[#This Row],[category &amp; sub-category]],"/")</f>
        <v>animation</v>
      </c>
    </row>
    <row r="75" spans="1:21" ht="17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5">
        <f>100*Table2[[#This Row],[pledged]]/Table2[[#This Row],[goal]]</f>
        <v>660.92857142857144</v>
      </c>
      <c r="G75" t="s">
        <v>20</v>
      </c>
      <c r="H75">
        <v>88</v>
      </c>
      <c r="I75" s="4">
        <f>IF(Table2[[#This Row],[pledged]]&gt;0,Table2[[#This Row],[pledged]]/Table2[[#This Row],[backers_count]],0)</f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8">
        <f t="shared" si="2"/>
        <v>42701.25</v>
      </c>
      <c r="O75" s="8">
        <f t="shared" si="3"/>
        <v>42704.25</v>
      </c>
      <c r="P75" s="5">
        <f>_xlfn.DAYS(Table2[[#This Row],[Date Ended Conversion]],Table2[[#This Row],[Date Created Conversion]])+1</f>
        <v>4</v>
      </c>
      <c r="Q75" t="b">
        <v>0</v>
      </c>
      <c r="R75" t="b">
        <v>0</v>
      </c>
      <c r="S75" t="s">
        <v>159</v>
      </c>
      <c r="T75" t="str">
        <f>_xlfn.TEXTBEFORE(Table2[[#This Row],[category &amp; sub-category]],"/")</f>
        <v>music</v>
      </c>
      <c r="U75" t="str">
        <f>_xlfn.TEXTAFTER(Table2[[#This Row],[category &amp; sub-category]],"/")</f>
        <v>jazz</v>
      </c>
    </row>
    <row r="76" spans="1:21" ht="17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5">
        <f>100*Table2[[#This Row],[pledged]]/Table2[[#This Row],[goal]]</f>
        <v>122.46153846153847</v>
      </c>
      <c r="G76" t="s">
        <v>20</v>
      </c>
      <c r="H76">
        <v>85</v>
      </c>
      <c r="I76" s="4">
        <f>IF(Table2[[#This Row],[pledged]]&gt;0,Table2[[#This Row],[pledged]]/Table2[[#This Row],[backers_count]],0)</f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8">
        <f t="shared" si="2"/>
        <v>42456.208333333328</v>
      </c>
      <c r="O76" s="8">
        <f t="shared" si="3"/>
        <v>42457.208333333328</v>
      </c>
      <c r="P76" s="5">
        <f>_xlfn.DAYS(Table2[[#This Row],[Date Ended Conversion]],Table2[[#This Row],[Date Created Conversion]])+1</f>
        <v>2</v>
      </c>
      <c r="Q76" t="b">
        <v>0</v>
      </c>
      <c r="R76" t="b">
        <v>0</v>
      </c>
      <c r="S76" t="s">
        <v>148</v>
      </c>
      <c r="T76" t="str">
        <f>_xlfn.TEXTBEFORE(Table2[[#This Row],[category &amp; sub-category]],"/")</f>
        <v>music</v>
      </c>
      <c r="U76" t="str">
        <f>_xlfn.TEXTAFTER(Table2[[#This Row],[category &amp; sub-category]],"/")</f>
        <v>metal</v>
      </c>
    </row>
    <row r="77" spans="1:21" ht="17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5">
        <f>100*Table2[[#This Row],[pledged]]/Table2[[#This Row],[goal]]</f>
        <v>150.57731958762886</v>
      </c>
      <c r="G77" t="s">
        <v>20</v>
      </c>
      <c r="H77">
        <v>170</v>
      </c>
      <c r="I77" s="4">
        <f>IF(Table2[[#This Row],[pledged]]&gt;0,Table2[[#This Row],[pledged]]/Table2[[#This Row],[backers_count]],0)</f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8">
        <f t="shared" si="2"/>
        <v>43296.208333333328</v>
      </c>
      <c r="O77" s="8">
        <f t="shared" si="3"/>
        <v>43304.208333333328</v>
      </c>
      <c r="P77" s="5">
        <f>_xlfn.DAYS(Table2[[#This Row],[Date Ended Conversion]],Table2[[#This Row],[Date Created Conversion]])+1</f>
        <v>9</v>
      </c>
      <c r="Q77" t="b">
        <v>0</v>
      </c>
      <c r="R77" t="b">
        <v>0</v>
      </c>
      <c r="S77" t="s">
        <v>122</v>
      </c>
      <c r="T77" t="str">
        <f>_xlfn.TEXTBEFORE(Table2[[#This Row],[category &amp; sub-category]],"/")</f>
        <v>photography</v>
      </c>
      <c r="U77" t="str">
        <f>_xlfn.TEXTAFTER(Table2[[#This Row],[category &amp; sub-category]],"/")</f>
        <v>photography books</v>
      </c>
    </row>
    <row r="78" spans="1:21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5">
        <f>100*Table2[[#This Row],[pledged]]/Table2[[#This Row],[goal]]</f>
        <v>78.106590724165983</v>
      </c>
      <c r="G78" t="s">
        <v>14</v>
      </c>
      <c r="H78">
        <v>1684</v>
      </c>
      <c r="I78" s="4">
        <f>IF(Table2[[#This Row],[pledged]]&gt;0,Table2[[#This Row],[pledged]]/Table2[[#This Row],[backers_count]],0)</f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8">
        <f t="shared" si="2"/>
        <v>42027.25</v>
      </c>
      <c r="O78" s="8">
        <f t="shared" si="3"/>
        <v>42076.208333333328</v>
      </c>
      <c r="P78" s="5">
        <f>_xlfn.DAYS(Table2[[#This Row],[Date Ended Conversion]],Table2[[#This Row],[Date Created Conversion]])+1</f>
        <v>50</v>
      </c>
      <c r="Q78" t="b">
        <v>1</v>
      </c>
      <c r="R78" t="b">
        <v>1</v>
      </c>
      <c r="S78" t="s">
        <v>33</v>
      </c>
      <c r="T78" t="str">
        <f>_xlfn.TEXTBEFORE(Table2[[#This Row],[category &amp; sub-category]],"/")</f>
        <v>theater</v>
      </c>
      <c r="U78" t="str">
        <f>_xlfn.TEXTAFTER(Table2[[#This Row],[category &amp; sub-category]],"/")</f>
        <v>plays</v>
      </c>
    </row>
    <row r="79" spans="1:21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5">
        <f>100*Table2[[#This Row],[pledged]]/Table2[[#This Row],[goal]]</f>
        <v>46.94736842105263</v>
      </c>
      <c r="G79" t="s">
        <v>14</v>
      </c>
      <c r="H79">
        <v>56</v>
      </c>
      <c r="I79" s="4">
        <f>IF(Table2[[#This Row],[pledged]]&gt;0,Table2[[#This Row],[pledged]]/Table2[[#This Row],[backers_count]],0)</f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8">
        <f t="shared" si="2"/>
        <v>40448.208333333336</v>
      </c>
      <c r="O79" s="8">
        <f t="shared" si="3"/>
        <v>40462.208333333336</v>
      </c>
      <c r="P79" s="5">
        <f>_xlfn.DAYS(Table2[[#This Row],[Date Ended Conversion]],Table2[[#This Row],[Date Created Conversion]])+1</f>
        <v>15</v>
      </c>
      <c r="Q79" t="b">
        <v>0</v>
      </c>
      <c r="R79" t="b">
        <v>1</v>
      </c>
      <c r="S79" t="s">
        <v>71</v>
      </c>
      <c r="T79" t="str">
        <f>_xlfn.TEXTBEFORE(Table2[[#This Row],[category &amp; sub-category]],"/")</f>
        <v>film &amp; video</v>
      </c>
      <c r="U79" t="str">
        <f>_xlfn.TEXTAFTER(Table2[[#This Row],[category &amp; sub-category]],"/")</f>
        <v>animation</v>
      </c>
    </row>
    <row r="80" spans="1:21" ht="34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5">
        <f>100*Table2[[#This Row],[pledged]]/Table2[[#This Row],[goal]]</f>
        <v>300.8</v>
      </c>
      <c r="G80" t="s">
        <v>20</v>
      </c>
      <c r="H80">
        <v>330</v>
      </c>
      <c r="I80" s="4">
        <f>IF(Table2[[#This Row],[pledged]]&gt;0,Table2[[#This Row],[pledged]]/Table2[[#This Row],[backers_count]],0)</f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8">
        <f t="shared" si="2"/>
        <v>43206.208333333328</v>
      </c>
      <c r="O80" s="8">
        <f t="shared" si="3"/>
        <v>43207.208333333328</v>
      </c>
      <c r="P80" s="5">
        <f>_xlfn.DAYS(Table2[[#This Row],[Date Ended Conversion]],Table2[[#This Row],[Date Created Conversion]])+1</f>
        <v>2</v>
      </c>
      <c r="Q80" t="b">
        <v>0</v>
      </c>
      <c r="R80" t="b">
        <v>0</v>
      </c>
      <c r="S80" t="s">
        <v>206</v>
      </c>
      <c r="T80" t="str">
        <f>_xlfn.TEXTBEFORE(Table2[[#This Row],[category &amp; sub-category]],"/")</f>
        <v>publishing</v>
      </c>
      <c r="U80" t="str">
        <f>_xlfn.TEXTAFTER(Table2[[#This Row],[category &amp; sub-category]],"/")</f>
        <v>translations</v>
      </c>
    </row>
    <row r="81" spans="1:21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5">
        <f>100*Table2[[#This Row],[pledged]]/Table2[[#This Row],[goal]]</f>
        <v>69.598615916955012</v>
      </c>
      <c r="G81" t="s">
        <v>14</v>
      </c>
      <c r="H81">
        <v>838</v>
      </c>
      <c r="I81" s="4">
        <f>IF(Table2[[#This Row],[pledged]]&gt;0,Table2[[#This Row],[pledged]]/Table2[[#This Row],[backers_count]],0)</f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8">
        <f t="shared" si="2"/>
        <v>43267.208333333328</v>
      </c>
      <c r="O81" s="8">
        <f t="shared" si="3"/>
        <v>43272.208333333328</v>
      </c>
      <c r="P81" s="5">
        <f>_xlfn.DAYS(Table2[[#This Row],[Date Ended Conversion]],Table2[[#This Row],[Date Created Conversion]])+1</f>
        <v>6</v>
      </c>
      <c r="Q81" t="b">
        <v>0</v>
      </c>
      <c r="R81" t="b">
        <v>0</v>
      </c>
      <c r="S81" t="s">
        <v>33</v>
      </c>
      <c r="T81" t="str">
        <f>_xlfn.TEXTBEFORE(Table2[[#This Row],[category &amp; sub-category]],"/")</f>
        <v>theater</v>
      </c>
      <c r="U81" t="str">
        <f>_xlfn.TEXTAFTER(Table2[[#This Row],[category &amp; sub-category]],"/")</f>
        <v>plays</v>
      </c>
    </row>
    <row r="82" spans="1:21" ht="17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5">
        <f>100*Table2[[#This Row],[pledged]]/Table2[[#This Row],[goal]]</f>
        <v>637.4545454545455</v>
      </c>
      <c r="G82" t="s">
        <v>20</v>
      </c>
      <c r="H82">
        <v>127</v>
      </c>
      <c r="I82" s="4">
        <f>IF(Table2[[#This Row],[pledged]]&gt;0,Table2[[#This Row],[pledged]]/Table2[[#This Row],[backers_count]],0)</f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8">
        <f t="shared" si="2"/>
        <v>42976.208333333328</v>
      </c>
      <c r="O82" s="8">
        <f t="shared" si="3"/>
        <v>43006.208333333328</v>
      </c>
      <c r="P82" s="5">
        <f>_xlfn.DAYS(Table2[[#This Row],[Date Ended Conversion]],Table2[[#This Row],[Date Created Conversion]])+1</f>
        <v>31</v>
      </c>
      <c r="Q82" t="b">
        <v>0</v>
      </c>
      <c r="R82" t="b">
        <v>0</v>
      </c>
      <c r="S82" t="s">
        <v>89</v>
      </c>
      <c r="T82" t="str">
        <f>_xlfn.TEXTBEFORE(Table2[[#This Row],[category &amp; sub-category]],"/")</f>
        <v>games</v>
      </c>
      <c r="U82" t="str">
        <f>_xlfn.TEXTAFTER(Table2[[#This Row],[category &amp; sub-category]],"/")</f>
        <v>video games</v>
      </c>
    </row>
    <row r="83" spans="1:21" ht="17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5">
        <f>100*Table2[[#This Row],[pledged]]/Table2[[#This Row],[goal]]</f>
        <v>225.33928571428572</v>
      </c>
      <c r="G83" t="s">
        <v>20</v>
      </c>
      <c r="H83">
        <v>411</v>
      </c>
      <c r="I83" s="4">
        <f>IF(Table2[[#This Row],[pledged]]&gt;0,Table2[[#This Row],[pledged]]/Table2[[#This Row],[backers_count]],0)</f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8">
        <f t="shared" si="2"/>
        <v>43062.25</v>
      </c>
      <c r="O83" s="8">
        <f t="shared" si="3"/>
        <v>43087.25</v>
      </c>
      <c r="P83" s="5">
        <f>_xlfn.DAYS(Table2[[#This Row],[Date Ended Conversion]],Table2[[#This Row],[Date Created Conversion]])+1</f>
        <v>26</v>
      </c>
      <c r="Q83" t="b">
        <v>0</v>
      </c>
      <c r="R83" t="b">
        <v>0</v>
      </c>
      <c r="S83" t="s">
        <v>23</v>
      </c>
      <c r="T83" t="str">
        <f>_xlfn.TEXTBEFORE(Table2[[#This Row],[category &amp; sub-category]],"/")</f>
        <v>music</v>
      </c>
      <c r="U83" t="str">
        <f>_xlfn.TEXTAFTER(Table2[[#This Row],[category &amp; sub-category]],"/")</f>
        <v>rock</v>
      </c>
    </row>
    <row r="84" spans="1:21" ht="17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5">
        <f>100*Table2[[#This Row],[pledged]]/Table2[[#This Row],[goal]]</f>
        <v>1497.3</v>
      </c>
      <c r="G84" t="s">
        <v>20</v>
      </c>
      <c r="H84">
        <v>180</v>
      </c>
      <c r="I84" s="4">
        <f>IF(Table2[[#This Row],[pledged]]&gt;0,Table2[[#This Row],[pledged]]/Table2[[#This Row],[backers_count]],0)</f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8">
        <f t="shared" si="2"/>
        <v>43482.25</v>
      </c>
      <c r="O84" s="8">
        <f t="shared" si="3"/>
        <v>43489.25</v>
      </c>
      <c r="P84" s="5">
        <f>_xlfn.DAYS(Table2[[#This Row],[Date Ended Conversion]],Table2[[#This Row],[Date Created Conversion]])+1</f>
        <v>8</v>
      </c>
      <c r="Q84" t="b">
        <v>0</v>
      </c>
      <c r="R84" t="b">
        <v>1</v>
      </c>
      <c r="S84" t="s">
        <v>89</v>
      </c>
      <c r="T84" t="str">
        <f>_xlfn.TEXTBEFORE(Table2[[#This Row],[category &amp; sub-category]],"/")</f>
        <v>games</v>
      </c>
      <c r="U84" t="str">
        <f>_xlfn.TEXTAFTER(Table2[[#This Row],[category &amp; sub-category]],"/")</f>
        <v>video games</v>
      </c>
    </row>
    <row r="85" spans="1:21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5">
        <f>100*Table2[[#This Row],[pledged]]/Table2[[#This Row],[goal]]</f>
        <v>37.590225563909776</v>
      </c>
      <c r="G85" t="s">
        <v>14</v>
      </c>
      <c r="H85">
        <v>1000</v>
      </c>
      <c r="I85" s="4">
        <f>IF(Table2[[#This Row],[pledged]]&gt;0,Table2[[#This Row],[pledged]]/Table2[[#This Row],[backers_count]],0)</f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8">
        <f t="shared" si="2"/>
        <v>42579.208333333328</v>
      </c>
      <c r="O85" s="8">
        <f t="shared" si="3"/>
        <v>42601.208333333328</v>
      </c>
      <c r="P85" s="5">
        <f>_xlfn.DAYS(Table2[[#This Row],[Date Ended Conversion]],Table2[[#This Row],[Date Created Conversion]])+1</f>
        <v>23</v>
      </c>
      <c r="Q85" t="b">
        <v>0</v>
      </c>
      <c r="R85" t="b">
        <v>0</v>
      </c>
      <c r="S85" t="s">
        <v>50</v>
      </c>
      <c r="T85" t="str">
        <f>_xlfn.TEXTBEFORE(Table2[[#This Row],[category &amp; sub-category]],"/")</f>
        <v>music</v>
      </c>
      <c r="U85" t="str">
        <f>_xlfn.TEXTAFTER(Table2[[#This Row],[category &amp; sub-category]],"/")</f>
        <v>electric music</v>
      </c>
    </row>
    <row r="86" spans="1:21" ht="17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5">
        <f>100*Table2[[#This Row],[pledged]]/Table2[[#This Row],[goal]]</f>
        <v>132.36942675159236</v>
      </c>
      <c r="G86" t="s">
        <v>20</v>
      </c>
      <c r="H86">
        <v>374</v>
      </c>
      <c r="I86" s="4">
        <f>IF(Table2[[#This Row],[pledged]]&gt;0,Table2[[#This Row],[pledged]]/Table2[[#This Row],[backers_count]],0)</f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8">
        <f t="shared" si="2"/>
        <v>41118.208333333336</v>
      </c>
      <c r="O86" s="8">
        <f t="shared" si="3"/>
        <v>41128.208333333336</v>
      </c>
      <c r="P86" s="5">
        <f>_xlfn.DAYS(Table2[[#This Row],[Date Ended Conversion]],Table2[[#This Row],[Date Created Conversion]])+1</f>
        <v>11</v>
      </c>
      <c r="Q86" t="b">
        <v>0</v>
      </c>
      <c r="R86" t="b">
        <v>0</v>
      </c>
      <c r="S86" t="s">
        <v>65</v>
      </c>
      <c r="T86" t="str">
        <f>_xlfn.TEXTBEFORE(Table2[[#This Row],[category &amp; sub-category]],"/")</f>
        <v>technology</v>
      </c>
      <c r="U86" t="str">
        <f>_xlfn.TEXTAFTER(Table2[[#This Row],[category &amp; sub-category]],"/")</f>
        <v>wearables</v>
      </c>
    </row>
    <row r="87" spans="1:21" ht="17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5">
        <f>100*Table2[[#This Row],[pledged]]/Table2[[#This Row],[goal]]</f>
        <v>131.22448979591837</v>
      </c>
      <c r="G87" t="s">
        <v>20</v>
      </c>
      <c r="H87">
        <v>71</v>
      </c>
      <c r="I87" s="4">
        <f>IF(Table2[[#This Row],[pledged]]&gt;0,Table2[[#This Row],[pledged]]/Table2[[#This Row],[backers_count]],0)</f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8">
        <f t="shared" si="2"/>
        <v>40797.208333333336</v>
      </c>
      <c r="O87" s="8">
        <f t="shared" si="3"/>
        <v>40805.208333333336</v>
      </c>
      <c r="P87" s="5">
        <f>_xlfn.DAYS(Table2[[#This Row],[Date Ended Conversion]],Table2[[#This Row],[Date Created Conversion]])+1</f>
        <v>9</v>
      </c>
      <c r="Q87" t="b">
        <v>0</v>
      </c>
      <c r="R87" t="b">
        <v>0</v>
      </c>
      <c r="S87" t="s">
        <v>60</v>
      </c>
      <c r="T87" t="str">
        <f>_xlfn.TEXTBEFORE(Table2[[#This Row],[category &amp; sub-category]],"/")</f>
        <v>music</v>
      </c>
      <c r="U87" t="str">
        <f>_xlfn.TEXTAFTER(Table2[[#This Row],[category &amp; sub-category]],"/")</f>
        <v>indie rock</v>
      </c>
    </row>
    <row r="88" spans="1:21" ht="17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5">
        <f>100*Table2[[#This Row],[pledged]]/Table2[[#This Row],[goal]]</f>
        <v>167.63513513513513</v>
      </c>
      <c r="G88" t="s">
        <v>20</v>
      </c>
      <c r="H88">
        <v>203</v>
      </c>
      <c r="I88" s="4">
        <f>IF(Table2[[#This Row],[pledged]]&gt;0,Table2[[#This Row],[pledged]]/Table2[[#This Row],[backers_count]],0)</f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8">
        <f t="shared" si="2"/>
        <v>42128.208333333328</v>
      </c>
      <c r="O88" s="8">
        <f t="shared" si="3"/>
        <v>42141.208333333328</v>
      </c>
      <c r="P88" s="5">
        <f>_xlfn.DAYS(Table2[[#This Row],[Date Ended Conversion]],Table2[[#This Row],[Date Created Conversion]])+1</f>
        <v>14</v>
      </c>
      <c r="Q88" t="b">
        <v>1</v>
      </c>
      <c r="R88" t="b">
        <v>0</v>
      </c>
      <c r="S88" t="s">
        <v>33</v>
      </c>
      <c r="T88" t="str">
        <f>_xlfn.TEXTBEFORE(Table2[[#This Row],[category &amp; sub-category]],"/")</f>
        <v>theater</v>
      </c>
      <c r="U88" t="str">
        <f>_xlfn.TEXTAFTER(Table2[[#This Row],[category &amp; sub-category]],"/")</f>
        <v>plays</v>
      </c>
    </row>
    <row r="89" spans="1:21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5">
        <f>100*Table2[[#This Row],[pledged]]/Table2[[#This Row],[goal]]</f>
        <v>61.984886649874056</v>
      </c>
      <c r="G89" t="s">
        <v>14</v>
      </c>
      <c r="H89">
        <v>1482</v>
      </c>
      <c r="I89" s="4">
        <f>IF(Table2[[#This Row],[pledged]]&gt;0,Table2[[#This Row],[pledged]]/Table2[[#This Row],[backers_count]],0)</f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8">
        <f t="shared" si="2"/>
        <v>40610.25</v>
      </c>
      <c r="O89" s="8">
        <f t="shared" si="3"/>
        <v>40621.208333333336</v>
      </c>
      <c r="P89" s="5">
        <f>_xlfn.DAYS(Table2[[#This Row],[Date Ended Conversion]],Table2[[#This Row],[Date Created Conversion]])+1</f>
        <v>12</v>
      </c>
      <c r="Q89" t="b">
        <v>0</v>
      </c>
      <c r="R89" t="b">
        <v>1</v>
      </c>
      <c r="S89" t="s">
        <v>23</v>
      </c>
      <c r="T89" t="str">
        <f>_xlfn.TEXTBEFORE(Table2[[#This Row],[category &amp; sub-category]],"/")</f>
        <v>music</v>
      </c>
      <c r="U89" t="str">
        <f>_xlfn.TEXTAFTER(Table2[[#This Row],[category &amp; sub-category]],"/")</f>
        <v>rock</v>
      </c>
    </row>
    <row r="90" spans="1:21" ht="17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5">
        <f>100*Table2[[#This Row],[pledged]]/Table2[[#This Row],[goal]]</f>
        <v>260.75</v>
      </c>
      <c r="G90" t="s">
        <v>20</v>
      </c>
      <c r="H90">
        <v>113</v>
      </c>
      <c r="I90" s="4">
        <f>IF(Table2[[#This Row],[pledged]]&gt;0,Table2[[#This Row],[pledged]]/Table2[[#This Row],[backers_count]],0)</f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8">
        <f t="shared" si="2"/>
        <v>42110.208333333328</v>
      </c>
      <c r="O90" s="8">
        <f t="shared" si="3"/>
        <v>42132.208333333328</v>
      </c>
      <c r="P90" s="5">
        <f>_xlfn.DAYS(Table2[[#This Row],[Date Ended Conversion]],Table2[[#This Row],[Date Created Conversion]])+1</f>
        <v>23</v>
      </c>
      <c r="Q90" t="b">
        <v>0</v>
      </c>
      <c r="R90" t="b">
        <v>0</v>
      </c>
      <c r="S90" t="s">
        <v>206</v>
      </c>
      <c r="T90" t="str">
        <f>_xlfn.TEXTBEFORE(Table2[[#This Row],[category &amp; sub-category]],"/")</f>
        <v>publishing</v>
      </c>
      <c r="U90" t="str">
        <f>_xlfn.TEXTAFTER(Table2[[#This Row],[category &amp; sub-category]],"/")</f>
        <v>translations</v>
      </c>
    </row>
    <row r="91" spans="1:21" ht="17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5">
        <f>100*Table2[[#This Row],[pledged]]/Table2[[#This Row],[goal]]</f>
        <v>252.58823529411765</v>
      </c>
      <c r="G91" t="s">
        <v>20</v>
      </c>
      <c r="H91">
        <v>96</v>
      </c>
      <c r="I91" s="4">
        <f>IF(Table2[[#This Row],[pledged]]&gt;0,Table2[[#This Row],[pledged]]/Table2[[#This Row],[backers_count]],0)</f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8">
        <f t="shared" si="2"/>
        <v>40283.208333333336</v>
      </c>
      <c r="O91" s="8">
        <f t="shared" si="3"/>
        <v>40285.208333333336</v>
      </c>
      <c r="P91" s="5">
        <f>_xlfn.DAYS(Table2[[#This Row],[Date Ended Conversion]],Table2[[#This Row],[Date Created Conversion]])+1</f>
        <v>3</v>
      </c>
      <c r="Q91" t="b">
        <v>0</v>
      </c>
      <c r="R91" t="b">
        <v>0</v>
      </c>
      <c r="S91" t="s">
        <v>33</v>
      </c>
      <c r="T91" t="str">
        <f>_xlfn.TEXTBEFORE(Table2[[#This Row],[category &amp; sub-category]],"/")</f>
        <v>theater</v>
      </c>
      <c r="U91" t="str">
        <f>_xlfn.TEXTAFTER(Table2[[#This Row],[category &amp; sub-category]],"/")</f>
        <v>plays</v>
      </c>
    </row>
    <row r="92" spans="1:21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5">
        <f>100*Table2[[#This Row],[pledged]]/Table2[[#This Row],[goal]]</f>
        <v>78.615384615384613</v>
      </c>
      <c r="G92" t="s">
        <v>14</v>
      </c>
      <c r="H92">
        <v>106</v>
      </c>
      <c r="I92" s="4">
        <f>IF(Table2[[#This Row],[pledged]]&gt;0,Table2[[#This Row],[pledged]]/Table2[[#This Row],[backers_count]],0)</f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8">
        <f t="shared" si="2"/>
        <v>42425.25</v>
      </c>
      <c r="O92" s="8">
        <f t="shared" si="3"/>
        <v>42425.25</v>
      </c>
      <c r="P92" s="5">
        <f>_xlfn.DAYS(Table2[[#This Row],[Date Ended Conversion]],Table2[[#This Row],[Date Created Conversion]])+1</f>
        <v>1</v>
      </c>
      <c r="Q92" t="b">
        <v>0</v>
      </c>
      <c r="R92" t="b">
        <v>1</v>
      </c>
      <c r="S92" t="s">
        <v>33</v>
      </c>
      <c r="T92" t="str">
        <f>_xlfn.TEXTBEFORE(Table2[[#This Row],[category &amp; sub-category]],"/")</f>
        <v>theater</v>
      </c>
      <c r="U92" t="str">
        <f>_xlfn.TEXTAFTER(Table2[[#This Row],[category &amp; sub-category]],"/")</f>
        <v>plays</v>
      </c>
    </row>
    <row r="93" spans="1:21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5">
        <f>100*Table2[[#This Row],[pledged]]/Table2[[#This Row],[goal]]</f>
        <v>48.404406999351913</v>
      </c>
      <c r="G93" t="s">
        <v>14</v>
      </c>
      <c r="H93">
        <v>679</v>
      </c>
      <c r="I93" s="4">
        <f>IF(Table2[[#This Row],[pledged]]&gt;0,Table2[[#This Row],[pledged]]/Table2[[#This Row],[backers_count]],0)</f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8">
        <f t="shared" si="2"/>
        <v>42588.208333333328</v>
      </c>
      <c r="O93" s="8">
        <f t="shared" si="3"/>
        <v>42616.208333333328</v>
      </c>
      <c r="P93" s="5">
        <f>_xlfn.DAYS(Table2[[#This Row],[Date Ended Conversion]],Table2[[#This Row],[Date Created Conversion]])+1</f>
        <v>29</v>
      </c>
      <c r="Q93" t="b">
        <v>0</v>
      </c>
      <c r="R93" t="b">
        <v>0</v>
      </c>
      <c r="S93" t="s">
        <v>206</v>
      </c>
      <c r="T93" t="str">
        <f>_xlfn.TEXTBEFORE(Table2[[#This Row],[category &amp; sub-category]],"/")</f>
        <v>publishing</v>
      </c>
      <c r="U93" t="str">
        <f>_xlfn.TEXTAFTER(Table2[[#This Row],[category &amp; sub-category]],"/")</f>
        <v>translations</v>
      </c>
    </row>
    <row r="94" spans="1:21" ht="34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5">
        <f>100*Table2[[#This Row],[pledged]]/Table2[[#This Row],[goal]]</f>
        <v>258.875</v>
      </c>
      <c r="G94" t="s">
        <v>20</v>
      </c>
      <c r="H94">
        <v>498</v>
      </c>
      <c r="I94" s="4">
        <f>IF(Table2[[#This Row],[pledged]]&gt;0,Table2[[#This Row],[pledged]]/Table2[[#This Row],[backers_count]],0)</f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8">
        <f t="shared" si="2"/>
        <v>40352.208333333336</v>
      </c>
      <c r="O94" s="8">
        <f t="shared" si="3"/>
        <v>40353.208333333336</v>
      </c>
      <c r="P94" s="5">
        <f>_xlfn.DAYS(Table2[[#This Row],[Date Ended Conversion]],Table2[[#This Row],[Date Created Conversion]])+1</f>
        <v>2</v>
      </c>
      <c r="Q94" t="b">
        <v>0</v>
      </c>
      <c r="R94" t="b">
        <v>1</v>
      </c>
      <c r="S94" t="s">
        <v>89</v>
      </c>
      <c r="T94" t="str">
        <f>_xlfn.TEXTBEFORE(Table2[[#This Row],[category &amp; sub-category]],"/")</f>
        <v>games</v>
      </c>
      <c r="U94" t="str">
        <f>_xlfn.TEXTAFTER(Table2[[#This Row],[category &amp; sub-category]],"/")</f>
        <v>video games</v>
      </c>
    </row>
    <row r="95" spans="1:21" ht="17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5">
        <f>100*Table2[[#This Row],[pledged]]/Table2[[#This Row],[goal]]</f>
        <v>60.548713235294116</v>
      </c>
      <c r="G95" t="s">
        <v>74</v>
      </c>
      <c r="H95">
        <v>610</v>
      </c>
      <c r="I95" s="4">
        <f>IF(Table2[[#This Row],[pledged]]&gt;0,Table2[[#This Row],[pledged]]/Table2[[#This Row],[backers_count]],0)</f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8">
        <f t="shared" si="2"/>
        <v>41202.208333333336</v>
      </c>
      <c r="O95" s="8">
        <f t="shared" si="3"/>
        <v>41206.208333333336</v>
      </c>
      <c r="P95" s="5">
        <f>_xlfn.DAYS(Table2[[#This Row],[Date Ended Conversion]],Table2[[#This Row],[Date Created Conversion]])+1</f>
        <v>5</v>
      </c>
      <c r="Q95" t="b">
        <v>0</v>
      </c>
      <c r="R95" t="b">
        <v>1</v>
      </c>
      <c r="S95" t="s">
        <v>33</v>
      </c>
      <c r="T95" t="str">
        <f>_xlfn.TEXTBEFORE(Table2[[#This Row],[category &amp; sub-category]],"/")</f>
        <v>theater</v>
      </c>
      <c r="U95" t="str">
        <f>_xlfn.TEXTAFTER(Table2[[#This Row],[category &amp; sub-category]],"/")</f>
        <v>plays</v>
      </c>
    </row>
    <row r="96" spans="1:21" ht="17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5">
        <f>100*Table2[[#This Row],[pledged]]/Table2[[#This Row],[goal]]</f>
        <v>303.68965517241378</v>
      </c>
      <c r="G96" t="s">
        <v>20</v>
      </c>
      <c r="H96">
        <v>180</v>
      </c>
      <c r="I96" s="4">
        <f>IF(Table2[[#This Row],[pledged]]&gt;0,Table2[[#This Row],[pledged]]/Table2[[#This Row],[backers_count]],0)</f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8">
        <f t="shared" si="2"/>
        <v>43562.208333333328</v>
      </c>
      <c r="O96" s="8">
        <f t="shared" si="3"/>
        <v>43573.208333333328</v>
      </c>
      <c r="P96" s="5">
        <f>_xlfn.DAYS(Table2[[#This Row],[Date Ended Conversion]],Table2[[#This Row],[Date Created Conversion]])+1</f>
        <v>12</v>
      </c>
      <c r="Q96" t="b">
        <v>0</v>
      </c>
      <c r="R96" t="b">
        <v>0</v>
      </c>
      <c r="S96" t="s">
        <v>28</v>
      </c>
      <c r="T96" t="str">
        <f>_xlfn.TEXTBEFORE(Table2[[#This Row],[category &amp; sub-category]],"/")</f>
        <v>technology</v>
      </c>
      <c r="U96" t="str">
        <f>_xlfn.TEXTAFTER(Table2[[#This Row],[category &amp; sub-category]],"/")</f>
        <v>web</v>
      </c>
    </row>
    <row r="97" spans="1:21" ht="34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5">
        <f>100*Table2[[#This Row],[pledged]]/Table2[[#This Row],[goal]]</f>
        <v>113</v>
      </c>
      <c r="G97" t="s">
        <v>20</v>
      </c>
      <c r="H97">
        <v>27</v>
      </c>
      <c r="I97" s="4">
        <f>IF(Table2[[#This Row],[pledged]]&gt;0,Table2[[#This Row],[pledged]]/Table2[[#This Row],[backers_count]],0)</f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8">
        <f t="shared" si="2"/>
        <v>43752.208333333328</v>
      </c>
      <c r="O97" s="8">
        <f t="shared" si="3"/>
        <v>43759.208333333328</v>
      </c>
      <c r="P97" s="5">
        <f>_xlfn.DAYS(Table2[[#This Row],[Date Ended Conversion]],Table2[[#This Row],[Date Created Conversion]])+1</f>
        <v>8</v>
      </c>
      <c r="Q97" t="b">
        <v>0</v>
      </c>
      <c r="R97" t="b">
        <v>0</v>
      </c>
      <c r="S97" t="s">
        <v>42</v>
      </c>
      <c r="T97" t="str">
        <f>_xlfn.TEXTBEFORE(Table2[[#This Row],[category &amp; sub-category]],"/")</f>
        <v>film &amp; video</v>
      </c>
      <c r="U97" t="str">
        <f>_xlfn.TEXTAFTER(Table2[[#This Row],[category &amp; sub-category]],"/")</f>
        <v>documentary</v>
      </c>
    </row>
    <row r="98" spans="1:21" ht="17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5">
        <f>100*Table2[[#This Row],[pledged]]/Table2[[#This Row],[goal]]</f>
        <v>217.37876614060258</v>
      </c>
      <c r="G98" t="s">
        <v>20</v>
      </c>
      <c r="H98">
        <v>2331</v>
      </c>
      <c r="I98" s="4">
        <f>IF(Table2[[#This Row],[pledged]]&gt;0,Table2[[#This Row],[pledged]]/Table2[[#This Row],[backers_count]],0)</f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8">
        <f t="shared" si="2"/>
        <v>40612.25</v>
      </c>
      <c r="O98" s="8">
        <f t="shared" si="3"/>
        <v>40625.208333333336</v>
      </c>
      <c r="P98" s="5">
        <f>_xlfn.DAYS(Table2[[#This Row],[Date Ended Conversion]],Table2[[#This Row],[Date Created Conversion]])+1</f>
        <v>14</v>
      </c>
      <c r="Q98" t="b">
        <v>0</v>
      </c>
      <c r="R98" t="b">
        <v>0</v>
      </c>
      <c r="S98" t="s">
        <v>33</v>
      </c>
      <c r="T98" t="str">
        <f>_xlfn.TEXTBEFORE(Table2[[#This Row],[category &amp; sub-category]],"/")</f>
        <v>theater</v>
      </c>
      <c r="U98" t="str">
        <f>_xlfn.TEXTAFTER(Table2[[#This Row],[category &amp; sub-category]],"/")</f>
        <v>plays</v>
      </c>
    </row>
    <row r="99" spans="1:21" ht="17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5">
        <f>100*Table2[[#This Row],[pledged]]/Table2[[#This Row],[goal]]</f>
        <v>926.69230769230774</v>
      </c>
      <c r="G99" t="s">
        <v>20</v>
      </c>
      <c r="H99">
        <v>113</v>
      </c>
      <c r="I99" s="4">
        <f>IF(Table2[[#This Row],[pledged]]&gt;0,Table2[[#This Row],[pledged]]/Table2[[#This Row],[backers_count]],0)</f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8">
        <f t="shared" si="2"/>
        <v>42180.208333333328</v>
      </c>
      <c r="O99" s="8">
        <f t="shared" si="3"/>
        <v>42234.208333333328</v>
      </c>
      <c r="P99" s="5">
        <f>_xlfn.DAYS(Table2[[#This Row],[Date Ended Conversion]],Table2[[#This Row],[Date Created Conversion]])+1</f>
        <v>55</v>
      </c>
      <c r="Q99" t="b">
        <v>0</v>
      </c>
      <c r="R99" t="b">
        <v>0</v>
      </c>
      <c r="S99" t="s">
        <v>17</v>
      </c>
      <c r="T99" t="str">
        <f>_xlfn.TEXTBEFORE(Table2[[#This Row],[category &amp; sub-category]],"/")</f>
        <v>food</v>
      </c>
      <c r="U99" t="str">
        <f>_xlfn.TEXTAFTER(Table2[[#This Row],[category &amp; sub-category]],"/")</f>
        <v>food trucks</v>
      </c>
    </row>
    <row r="100" spans="1:21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5">
        <f>100*Table2[[#This Row],[pledged]]/Table2[[#This Row],[goal]]</f>
        <v>33.692229038854805</v>
      </c>
      <c r="G100" t="s">
        <v>14</v>
      </c>
      <c r="H100">
        <v>1220</v>
      </c>
      <c r="I100" s="4">
        <f>IF(Table2[[#This Row],[pledged]]&gt;0,Table2[[#This Row],[pledged]]/Table2[[#This Row],[backers_count]],0)</f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8">
        <f t="shared" si="2"/>
        <v>42212.208333333328</v>
      </c>
      <c r="O100" s="8">
        <f t="shared" si="3"/>
        <v>42216.208333333328</v>
      </c>
      <c r="P100" s="5">
        <f>_xlfn.DAYS(Table2[[#This Row],[Date Ended Conversion]],Table2[[#This Row],[Date Created Conversion]])+1</f>
        <v>5</v>
      </c>
      <c r="Q100" t="b">
        <v>0</v>
      </c>
      <c r="R100" t="b">
        <v>0</v>
      </c>
      <c r="S100" t="s">
        <v>89</v>
      </c>
      <c r="T100" t="str">
        <f>_xlfn.TEXTBEFORE(Table2[[#This Row],[category &amp; sub-category]],"/")</f>
        <v>games</v>
      </c>
      <c r="U100" t="str">
        <f>_xlfn.TEXTAFTER(Table2[[#This Row],[category &amp; sub-category]],"/")</f>
        <v>video games</v>
      </c>
    </row>
    <row r="101" spans="1:21" ht="34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5">
        <f>100*Table2[[#This Row],[pledged]]/Table2[[#This Row],[goal]]</f>
        <v>196.72368421052633</v>
      </c>
      <c r="G101" t="s">
        <v>20</v>
      </c>
      <c r="H101">
        <v>164</v>
      </c>
      <c r="I101" s="4">
        <f>IF(Table2[[#This Row],[pledged]]&gt;0,Table2[[#This Row],[pledged]]/Table2[[#This Row],[backers_count]],0)</f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8">
        <f t="shared" si="2"/>
        <v>41968.25</v>
      </c>
      <c r="O101" s="8">
        <f t="shared" si="3"/>
        <v>41997.25</v>
      </c>
      <c r="P101" s="5">
        <f>_xlfn.DAYS(Table2[[#This Row],[Date Ended Conversion]],Table2[[#This Row],[Date Created Conversion]])+1</f>
        <v>30</v>
      </c>
      <c r="Q101" t="b">
        <v>0</v>
      </c>
      <c r="R101" t="b">
        <v>0</v>
      </c>
      <c r="S101" t="s">
        <v>33</v>
      </c>
      <c r="T101" t="str">
        <f>_xlfn.TEXTBEFORE(Table2[[#This Row],[category &amp; sub-category]],"/")</f>
        <v>theater</v>
      </c>
      <c r="U101" t="str">
        <f>_xlfn.TEXTAFTER(Table2[[#This Row],[category &amp; sub-category]],"/")</f>
        <v>plays</v>
      </c>
    </row>
    <row r="102" spans="1:21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5">
        <f>100*Table2[[#This Row],[pledged]]/Table2[[#This Row],[goal]]</f>
        <v>1</v>
      </c>
      <c r="G102" t="s">
        <v>14</v>
      </c>
      <c r="H102">
        <v>1</v>
      </c>
      <c r="I102" s="4">
        <f>IF(Table2[[#This Row],[pledged]]&gt;0,Table2[[#This Row],[pledged]]/Table2[[#This Row],[backers_count]],0)</f>
        <v>1</v>
      </c>
      <c r="J102" t="s">
        <v>21</v>
      </c>
      <c r="K102" t="s">
        <v>22</v>
      </c>
      <c r="L102">
        <v>1319000400</v>
      </c>
      <c r="M102">
        <v>1320555600</v>
      </c>
      <c r="N102" s="8">
        <f t="shared" si="2"/>
        <v>40835.208333333336</v>
      </c>
      <c r="O102" s="8">
        <f t="shared" si="3"/>
        <v>40853.208333333336</v>
      </c>
      <c r="P102" s="5">
        <f>_xlfn.DAYS(Table2[[#This Row],[Date Ended Conversion]],Table2[[#This Row],[Date Created Conversion]])+1</f>
        <v>19</v>
      </c>
      <c r="Q102" t="b">
        <v>0</v>
      </c>
      <c r="R102" t="b">
        <v>0</v>
      </c>
      <c r="S102" t="s">
        <v>33</v>
      </c>
      <c r="T102" t="str">
        <f>_xlfn.TEXTBEFORE(Table2[[#This Row],[category &amp; sub-category]],"/")</f>
        <v>theater</v>
      </c>
      <c r="U102" t="str">
        <f>_xlfn.TEXTAFTER(Table2[[#This Row],[category &amp; sub-category]],"/")</f>
        <v>plays</v>
      </c>
    </row>
    <row r="103" spans="1:21" ht="17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5">
        <f>100*Table2[[#This Row],[pledged]]/Table2[[#This Row],[goal]]</f>
        <v>1021.4444444444445</v>
      </c>
      <c r="G103" t="s">
        <v>20</v>
      </c>
      <c r="H103">
        <v>164</v>
      </c>
      <c r="I103" s="4">
        <f>IF(Table2[[#This Row],[pledged]]&gt;0,Table2[[#This Row],[pledged]]/Table2[[#This Row],[backers_count]],0)</f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8">
        <f t="shared" si="2"/>
        <v>42056.25</v>
      </c>
      <c r="O103" s="8">
        <f t="shared" si="3"/>
        <v>42063.25</v>
      </c>
      <c r="P103" s="5">
        <f>_xlfn.DAYS(Table2[[#This Row],[Date Ended Conversion]],Table2[[#This Row],[Date Created Conversion]])+1</f>
        <v>8</v>
      </c>
      <c r="Q103" t="b">
        <v>0</v>
      </c>
      <c r="R103" t="b">
        <v>1</v>
      </c>
      <c r="S103" t="s">
        <v>50</v>
      </c>
      <c r="T103" t="str">
        <f>_xlfn.TEXTBEFORE(Table2[[#This Row],[category &amp; sub-category]],"/")</f>
        <v>music</v>
      </c>
      <c r="U103" t="str">
        <f>_xlfn.TEXTAFTER(Table2[[#This Row],[category &amp; sub-category]],"/")</f>
        <v>electric music</v>
      </c>
    </row>
    <row r="104" spans="1:21" ht="17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5">
        <f>100*Table2[[#This Row],[pledged]]/Table2[[#This Row],[goal]]</f>
        <v>281.67567567567568</v>
      </c>
      <c r="G104" t="s">
        <v>20</v>
      </c>
      <c r="H104">
        <v>336</v>
      </c>
      <c r="I104" s="4">
        <f>IF(Table2[[#This Row],[pledged]]&gt;0,Table2[[#This Row],[pledged]]/Table2[[#This Row],[backers_count]],0)</f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8">
        <f t="shared" si="2"/>
        <v>43234.208333333328</v>
      </c>
      <c r="O104" s="8">
        <f t="shared" si="3"/>
        <v>43241.208333333328</v>
      </c>
      <c r="P104" s="5">
        <f>_xlfn.DAYS(Table2[[#This Row],[Date Ended Conversion]],Table2[[#This Row],[Date Created Conversion]])+1</f>
        <v>8</v>
      </c>
      <c r="Q104" t="b">
        <v>0</v>
      </c>
      <c r="R104" t="b">
        <v>1</v>
      </c>
      <c r="S104" t="s">
        <v>65</v>
      </c>
      <c r="T104" t="str">
        <f>_xlfn.TEXTBEFORE(Table2[[#This Row],[category &amp; sub-category]],"/")</f>
        <v>technology</v>
      </c>
      <c r="U104" t="str">
        <f>_xlfn.TEXTAFTER(Table2[[#This Row],[category &amp; sub-category]],"/")</f>
        <v>wearables</v>
      </c>
    </row>
    <row r="105" spans="1:21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5">
        <f>100*Table2[[#This Row],[pledged]]/Table2[[#This Row],[goal]]</f>
        <v>24.61</v>
      </c>
      <c r="G105" t="s">
        <v>14</v>
      </c>
      <c r="H105">
        <v>37</v>
      </c>
      <c r="I105" s="4">
        <f>IF(Table2[[#This Row],[pledged]]&gt;0,Table2[[#This Row],[pledged]]/Table2[[#This Row],[backers_count]],0)</f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8">
        <f t="shared" si="2"/>
        <v>40475.208333333336</v>
      </c>
      <c r="O105" s="8">
        <f t="shared" si="3"/>
        <v>40484.208333333336</v>
      </c>
      <c r="P105" s="5">
        <f>_xlfn.DAYS(Table2[[#This Row],[Date Ended Conversion]],Table2[[#This Row],[Date Created Conversion]])+1</f>
        <v>10</v>
      </c>
      <c r="Q105" t="b">
        <v>0</v>
      </c>
      <c r="R105" t="b">
        <v>0</v>
      </c>
      <c r="S105" t="s">
        <v>50</v>
      </c>
      <c r="T105" t="str">
        <f>_xlfn.TEXTBEFORE(Table2[[#This Row],[category &amp; sub-category]],"/")</f>
        <v>music</v>
      </c>
      <c r="U105" t="str">
        <f>_xlfn.TEXTAFTER(Table2[[#This Row],[category &amp; sub-category]],"/")</f>
        <v>electric music</v>
      </c>
    </row>
    <row r="106" spans="1:21" ht="17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5">
        <f>100*Table2[[#This Row],[pledged]]/Table2[[#This Row],[goal]]</f>
        <v>143.14010067114094</v>
      </c>
      <c r="G106" t="s">
        <v>20</v>
      </c>
      <c r="H106">
        <v>1917</v>
      </c>
      <c r="I106" s="4">
        <f>IF(Table2[[#This Row],[pledged]]&gt;0,Table2[[#This Row],[pledged]]/Table2[[#This Row],[backers_count]],0)</f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8">
        <f t="shared" si="2"/>
        <v>42878.208333333328</v>
      </c>
      <c r="O106" s="8">
        <f t="shared" si="3"/>
        <v>42879.208333333328</v>
      </c>
      <c r="P106" s="5">
        <f>_xlfn.DAYS(Table2[[#This Row],[Date Ended Conversion]],Table2[[#This Row],[Date Created Conversion]])+1</f>
        <v>2</v>
      </c>
      <c r="Q106" t="b">
        <v>0</v>
      </c>
      <c r="R106" t="b">
        <v>0</v>
      </c>
      <c r="S106" t="s">
        <v>60</v>
      </c>
      <c r="T106" t="str">
        <f>_xlfn.TEXTBEFORE(Table2[[#This Row],[category &amp; sub-category]],"/")</f>
        <v>music</v>
      </c>
      <c r="U106" t="str">
        <f>_xlfn.TEXTAFTER(Table2[[#This Row],[category &amp; sub-category]],"/")</f>
        <v>indie rock</v>
      </c>
    </row>
    <row r="107" spans="1:21" ht="17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5">
        <f>100*Table2[[#This Row],[pledged]]/Table2[[#This Row],[goal]]</f>
        <v>144.54411764705881</v>
      </c>
      <c r="G107" t="s">
        <v>20</v>
      </c>
      <c r="H107">
        <v>95</v>
      </c>
      <c r="I107" s="4">
        <f>IF(Table2[[#This Row],[pledged]]&gt;0,Table2[[#This Row],[pledged]]/Table2[[#This Row],[backers_count]],0)</f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8">
        <f t="shared" si="2"/>
        <v>41366.208333333336</v>
      </c>
      <c r="O107" s="8">
        <f t="shared" si="3"/>
        <v>41384.208333333336</v>
      </c>
      <c r="P107" s="5">
        <f>_xlfn.DAYS(Table2[[#This Row],[Date Ended Conversion]],Table2[[#This Row],[Date Created Conversion]])+1</f>
        <v>19</v>
      </c>
      <c r="Q107" t="b">
        <v>0</v>
      </c>
      <c r="R107" t="b">
        <v>0</v>
      </c>
      <c r="S107" t="s">
        <v>28</v>
      </c>
      <c r="T107" t="str">
        <f>_xlfn.TEXTBEFORE(Table2[[#This Row],[category &amp; sub-category]],"/")</f>
        <v>technology</v>
      </c>
      <c r="U107" t="str">
        <f>_xlfn.TEXTAFTER(Table2[[#This Row],[category &amp; sub-category]],"/")</f>
        <v>web</v>
      </c>
    </row>
    <row r="108" spans="1:21" ht="17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5">
        <f>100*Table2[[#This Row],[pledged]]/Table2[[#This Row],[goal]]</f>
        <v>359.12820512820514</v>
      </c>
      <c r="G108" t="s">
        <v>20</v>
      </c>
      <c r="H108">
        <v>147</v>
      </c>
      <c r="I108" s="4">
        <f>IF(Table2[[#This Row],[pledged]]&gt;0,Table2[[#This Row],[pledged]]/Table2[[#This Row],[backers_count]],0)</f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8">
        <f t="shared" si="2"/>
        <v>43716.208333333328</v>
      </c>
      <c r="O108" s="8">
        <f t="shared" si="3"/>
        <v>43721.208333333328</v>
      </c>
      <c r="P108" s="5">
        <f>_xlfn.DAYS(Table2[[#This Row],[Date Ended Conversion]],Table2[[#This Row],[Date Created Conversion]])+1</f>
        <v>6</v>
      </c>
      <c r="Q108" t="b">
        <v>0</v>
      </c>
      <c r="R108" t="b">
        <v>0</v>
      </c>
      <c r="S108" t="s">
        <v>33</v>
      </c>
      <c r="T108" t="str">
        <f>_xlfn.TEXTBEFORE(Table2[[#This Row],[category &amp; sub-category]],"/")</f>
        <v>theater</v>
      </c>
      <c r="U108" t="str">
        <f>_xlfn.TEXTAFTER(Table2[[#This Row],[category &amp; sub-category]],"/")</f>
        <v>plays</v>
      </c>
    </row>
    <row r="109" spans="1:21" ht="34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5">
        <f>100*Table2[[#This Row],[pledged]]/Table2[[#This Row],[goal]]</f>
        <v>186.48571428571429</v>
      </c>
      <c r="G109" t="s">
        <v>20</v>
      </c>
      <c r="H109">
        <v>86</v>
      </c>
      <c r="I109" s="4">
        <f>IF(Table2[[#This Row],[pledged]]&gt;0,Table2[[#This Row],[pledged]]/Table2[[#This Row],[backers_count]],0)</f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8">
        <f t="shared" si="2"/>
        <v>43213.208333333328</v>
      </c>
      <c r="O109" s="8">
        <f t="shared" si="3"/>
        <v>43230.208333333328</v>
      </c>
      <c r="P109" s="5">
        <f>_xlfn.DAYS(Table2[[#This Row],[Date Ended Conversion]],Table2[[#This Row],[Date Created Conversion]])+1</f>
        <v>18</v>
      </c>
      <c r="Q109" t="b">
        <v>0</v>
      </c>
      <c r="R109" t="b">
        <v>1</v>
      </c>
      <c r="S109" t="s">
        <v>33</v>
      </c>
      <c r="T109" t="str">
        <f>_xlfn.TEXTBEFORE(Table2[[#This Row],[category &amp; sub-category]],"/")</f>
        <v>theater</v>
      </c>
      <c r="U109" t="str">
        <f>_xlfn.TEXTAFTER(Table2[[#This Row],[category &amp; sub-category]],"/")</f>
        <v>plays</v>
      </c>
    </row>
    <row r="110" spans="1:21" ht="34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5">
        <f>100*Table2[[#This Row],[pledged]]/Table2[[#This Row],[goal]]</f>
        <v>595.26666666666665</v>
      </c>
      <c r="G110" t="s">
        <v>20</v>
      </c>
      <c r="H110">
        <v>83</v>
      </c>
      <c r="I110" s="4">
        <f>IF(Table2[[#This Row],[pledged]]&gt;0,Table2[[#This Row],[pledged]]/Table2[[#This Row],[backers_count]],0)</f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8">
        <f t="shared" si="2"/>
        <v>41005.208333333336</v>
      </c>
      <c r="O110" s="8">
        <f t="shared" si="3"/>
        <v>41042.208333333336</v>
      </c>
      <c r="P110" s="5">
        <f>_xlfn.DAYS(Table2[[#This Row],[Date Ended Conversion]],Table2[[#This Row],[Date Created Conversion]])+1</f>
        <v>38</v>
      </c>
      <c r="Q110" t="b">
        <v>0</v>
      </c>
      <c r="R110" t="b">
        <v>0</v>
      </c>
      <c r="S110" t="s">
        <v>42</v>
      </c>
      <c r="T110" t="str">
        <f>_xlfn.TEXTBEFORE(Table2[[#This Row],[category &amp; sub-category]],"/")</f>
        <v>film &amp; video</v>
      </c>
      <c r="U110" t="str">
        <f>_xlfn.TEXTAFTER(Table2[[#This Row],[category &amp; sub-category]],"/")</f>
        <v>documentary</v>
      </c>
    </row>
    <row r="111" spans="1:21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5">
        <f>100*Table2[[#This Row],[pledged]]/Table2[[#This Row],[goal]]</f>
        <v>59.21153846153846</v>
      </c>
      <c r="G111" t="s">
        <v>14</v>
      </c>
      <c r="H111">
        <v>60</v>
      </c>
      <c r="I111" s="4">
        <f>IF(Table2[[#This Row],[pledged]]&gt;0,Table2[[#This Row],[pledged]]/Table2[[#This Row],[backers_count]],0)</f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8">
        <f t="shared" si="2"/>
        <v>41651.25</v>
      </c>
      <c r="O111" s="8">
        <f t="shared" si="3"/>
        <v>41653.25</v>
      </c>
      <c r="P111" s="5">
        <f>_xlfn.DAYS(Table2[[#This Row],[Date Ended Conversion]],Table2[[#This Row],[Date Created Conversion]])+1</f>
        <v>3</v>
      </c>
      <c r="Q111" t="b">
        <v>0</v>
      </c>
      <c r="R111" t="b">
        <v>0</v>
      </c>
      <c r="S111" t="s">
        <v>269</v>
      </c>
      <c r="T111" t="str">
        <f>_xlfn.TEXTBEFORE(Table2[[#This Row],[category &amp; sub-category]],"/")</f>
        <v>film &amp; video</v>
      </c>
      <c r="U111" t="str">
        <f>_xlfn.TEXTAFTER(Table2[[#This Row],[category &amp; sub-category]],"/")</f>
        <v>television</v>
      </c>
    </row>
    <row r="112" spans="1:21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5">
        <f>100*Table2[[#This Row],[pledged]]/Table2[[#This Row],[goal]]</f>
        <v>14.962780898876405</v>
      </c>
      <c r="G112" t="s">
        <v>14</v>
      </c>
      <c r="H112">
        <v>296</v>
      </c>
      <c r="I112" s="4">
        <f>IF(Table2[[#This Row],[pledged]]&gt;0,Table2[[#This Row],[pledged]]/Table2[[#This Row],[backers_count]],0)</f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8">
        <f t="shared" si="2"/>
        <v>43354.208333333328</v>
      </c>
      <c r="O112" s="8">
        <f t="shared" si="3"/>
        <v>43373.208333333328</v>
      </c>
      <c r="P112" s="5">
        <f>_xlfn.DAYS(Table2[[#This Row],[Date Ended Conversion]],Table2[[#This Row],[Date Created Conversion]])+1</f>
        <v>20</v>
      </c>
      <c r="Q112" t="b">
        <v>0</v>
      </c>
      <c r="R112" t="b">
        <v>0</v>
      </c>
      <c r="S112" t="s">
        <v>17</v>
      </c>
      <c r="T112" t="str">
        <f>_xlfn.TEXTBEFORE(Table2[[#This Row],[category &amp; sub-category]],"/")</f>
        <v>food</v>
      </c>
      <c r="U112" t="str">
        <f>_xlfn.TEXTAFTER(Table2[[#This Row],[category &amp; sub-category]],"/")</f>
        <v>food trucks</v>
      </c>
    </row>
    <row r="113" spans="1:21" ht="17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5">
        <f>100*Table2[[#This Row],[pledged]]/Table2[[#This Row],[goal]]</f>
        <v>119.95602605863192</v>
      </c>
      <c r="G113" t="s">
        <v>20</v>
      </c>
      <c r="H113">
        <v>676</v>
      </c>
      <c r="I113" s="4">
        <f>IF(Table2[[#This Row],[pledged]]&gt;0,Table2[[#This Row],[pledged]]/Table2[[#This Row],[backers_count]],0)</f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8">
        <f t="shared" si="2"/>
        <v>41174.208333333336</v>
      </c>
      <c r="O113" s="8">
        <f t="shared" si="3"/>
        <v>41180.208333333336</v>
      </c>
      <c r="P113" s="5">
        <f>_xlfn.DAYS(Table2[[#This Row],[Date Ended Conversion]],Table2[[#This Row],[Date Created Conversion]])+1</f>
        <v>7</v>
      </c>
      <c r="Q113" t="b">
        <v>0</v>
      </c>
      <c r="R113" t="b">
        <v>0</v>
      </c>
      <c r="S113" t="s">
        <v>133</v>
      </c>
      <c r="T113" t="str">
        <f>_xlfn.TEXTBEFORE(Table2[[#This Row],[category &amp; sub-category]],"/")</f>
        <v>publishing</v>
      </c>
      <c r="U113" t="str">
        <f>_xlfn.TEXTAFTER(Table2[[#This Row],[category &amp; sub-category]],"/")</f>
        <v>radio &amp; podcasts</v>
      </c>
    </row>
    <row r="114" spans="1:21" ht="17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5">
        <f>100*Table2[[#This Row],[pledged]]/Table2[[#This Row],[goal]]</f>
        <v>268.82978723404256</v>
      </c>
      <c r="G114" t="s">
        <v>20</v>
      </c>
      <c r="H114">
        <v>361</v>
      </c>
      <c r="I114" s="4">
        <f>IF(Table2[[#This Row],[pledged]]&gt;0,Table2[[#This Row],[pledged]]/Table2[[#This Row],[backers_count]],0)</f>
        <v>35</v>
      </c>
      <c r="J114" t="s">
        <v>26</v>
      </c>
      <c r="K114" t="s">
        <v>27</v>
      </c>
      <c r="L114">
        <v>1408856400</v>
      </c>
      <c r="M114">
        <v>1410152400</v>
      </c>
      <c r="N114" s="8">
        <f t="shared" si="2"/>
        <v>41875.208333333336</v>
      </c>
      <c r="O114" s="8">
        <f t="shared" si="3"/>
        <v>41890.208333333336</v>
      </c>
      <c r="P114" s="5">
        <f>_xlfn.DAYS(Table2[[#This Row],[Date Ended Conversion]],Table2[[#This Row],[Date Created Conversion]])+1</f>
        <v>16</v>
      </c>
      <c r="Q114" t="b">
        <v>0</v>
      </c>
      <c r="R114" t="b">
        <v>0</v>
      </c>
      <c r="S114" t="s">
        <v>28</v>
      </c>
      <c r="T114" t="str">
        <f>_xlfn.TEXTBEFORE(Table2[[#This Row],[category &amp; sub-category]],"/")</f>
        <v>technology</v>
      </c>
      <c r="U114" t="str">
        <f>_xlfn.TEXTAFTER(Table2[[#This Row],[category &amp; sub-category]],"/")</f>
        <v>web</v>
      </c>
    </row>
    <row r="115" spans="1:21" ht="17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5">
        <f>100*Table2[[#This Row],[pledged]]/Table2[[#This Row],[goal]]</f>
        <v>376.87878787878788</v>
      </c>
      <c r="G115" t="s">
        <v>20</v>
      </c>
      <c r="H115">
        <v>131</v>
      </c>
      <c r="I115" s="4">
        <f>IF(Table2[[#This Row],[pledged]]&gt;0,Table2[[#This Row],[pledged]]/Table2[[#This Row],[backers_count]],0)</f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8">
        <f t="shared" si="2"/>
        <v>42990.208333333328</v>
      </c>
      <c r="O115" s="8">
        <f t="shared" si="3"/>
        <v>42997.208333333328</v>
      </c>
      <c r="P115" s="5">
        <f>_xlfn.DAYS(Table2[[#This Row],[Date Ended Conversion]],Table2[[#This Row],[Date Created Conversion]])+1</f>
        <v>8</v>
      </c>
      <c r="Q115" t="b">
        <v>0</v>
      </c>
      <c r="R115" t="b">
        <v>0</v>
      </c>
      <c r="S115" t="s">
        <v>17</v>
      </c>
      <c r="T115" t="str">
        <f>_xlfn.TEXTBEFORE(Table2[[#This Row],[category &amp; sub-category]],"/")</f>
        <v>food</v>
      </c>
      <c r="U115" t="str">
        <f>_xlfn.TEXTAFTER(Table2[[#This Row],[category &amp; sub-category]],"/")</f>
        <v>food trucks</v>
      </c>
    </row>
    <row r="116" spans="1:21" ht="17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5">
        <f>100*Table2[[#This Row],[pledged]]/Table2[[#This Row],[goal]]</f>
        <v>727.15789473684208</v>
      </c>
      <c r="G116" t="s">
        <v>20</v>
      </c>
      <c r="H116">
        <v>126</v>
      </c>
      <c r="I116" s="4">
        <f>IF(Table2[[#This Row],[pledged]]&gt;0,Table2[[#This Row],[pledged]]/Table2[[#This Row],[backers_count]],0)</f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8">
        <f t="shared" si="2"/>
        <v>43564.208333333328</v>
      </c>
      <c r="O116" s="8">
        <f t="shared" si="3"/>
        <v>43565.208333333328</v>
      </c>
      <c r="P116" s="5">
        <f>_xlfn.DAYS(Table2[[#This Row],[Date Ended Conversion]],Table2[[#This Row],[Date Created Conversion]])+1</f>
        <v>2</v>
      </c>
      <c r="Q116" t="b">
        <v>0</v>
      </c>
      <c r="R116" t="b">
        <v>1</v>
      </c>
      <c r="S116" t="s">
        <v>65</v>
      </c>
      <c r="T116" t="str">
        <f>_xlfn.TEXTBEFORE(Table2[[#This Row],[category &amp; sub-category]],"/")</f>
        <v>technology</v>
      </c>
      <c r="U116" t="str">
        <f>_xlfn.TEXTAFTER(Table2[[#This Row],[category &amp; sub-category]],"/")</f>
        <v>wearables</v>
      </c>
    </row>
    <row r="117" spans="1:21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5">
        <f>100*Table2[[#This Row],[pledged]]/Table2[[#This Row],[goal]]</f>
        <v>87.211757648470311</v>
      </c>
      <c r="G117" t="s">
        <v>14</v>
      </c>
      <c r="H117">
        <v>3304</v>
      </c>
      <c r="I117" s="4">
        <f>IF(Table2[[#This Row],[pledged]]&gt;0,Table2[[#This Row],[pledged]]/Table2[[#This Row],[backers_count]],0)</f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8">
        <f t="shared" si="2"/>
        <v>43056.25</v>
      </c>
      <c r="O117" s="8">
        <f t="shared" si="3"/>
        <v>43091.25</v>
      </c>
      <c r="P117" s="5">
        <f>_xlfn.DAYS(Table2[[#This Row],[Date Ended Conversion]],Table2[[#This Row],[Date Created Conversion]])+1</f>
        <v>36</v>
      </c>
      <c r="Q117" t="b">
        <v>0</v>
      </c>
      <c r="R117" t="b">
        <v>0</v>
      </c>
      <c r="S117" t="s">
        <v>119</v>
      </c>
      <c r="T117" t="str">
        <f>_xlfn.TEXTBEFORE(Table2[[#This Row],[category &amp; sub-category]],"/")</f>
        <v>publishing</v>
      </c>
      <c r="U117" t="str">
        <f>_xlfn.TEXTAFTER(Table2[[#This Row],[category &amp; sub-category]],"/")</f>
        <v>fiction</v>
      </c>
    </row>
    <row r="118" spans="1:21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5">
        <f>100*Table2[[#This Row],[pledged]]/Table2[[#This Row],[goal]]</f>
        <v>88</v>
      </c>
      <c r="G118" t="s">
        <v>14</v>
      </c>
      <c r="H118">
        <v>73</v>
      </c>
      <c r="I118" s="4">
        <f>IF(Table2[[#This Row],[pledged]]&gt;0,Table2[[#This Row],[pledged]]/Table2[[#This Row],[backers_count]],0)</f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8">
        <f t="shared" si="2"/>
        <v>42265.208333333328</v>
      </c>
      <c r="O118" s="8">
        <f t="shared" si="3"/>
        <v>42266.208333333328</v>
      </c>
      <c r="P118" s="5">
        <f>_xlfn.DAYS(Table2[[#This Row],[Date Ended Conversion]],Table2[[#This Row],[Date Created Conversion]])+1</f>
        <v>2</v>
      </c>
      <c r="Q118" t="b">
        <v>0</v>
      </c>
      <c r="R118" t="b">
        <v>0</v>
      </c>
      <c r="S118" t="s">
        <v>33</v>
      </c>
      <c r="T118" t="str">
        <f>_xlfn.TEXTBEFORE(Table2[[#This Row],[category &amp; sub-category]],"/")</f>
        <v>theater</v>
      </c>
      <c r="U118" t="str">
        <f>_xlfn.TEXTAFTER(Table2[[#This Row],[category &amp; sub-category]],"/")</f>
        <v>plays</v>
      </c>
    </row>
    <row r="119" spans="1:21" ht="17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5">
        <f>100*Table2[[#This Row],[pledged]]/Table2[[#This Row],[goal]]</f>
        <v>173.9387755102041</v>
      </c>
      <c r="G119" t="s">
        <v>20</v>
      </c>
      <c r="H119">
        <v>275</v>
      </c>
      <c r="I119" s="4">
        <f>IF(Table2[[#This Row],[pledged]]&gt;0,Table2[[#This Row],[pledged]]/Table2[[#This Row],[backers_count]],0)</f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8">
        <f t="shared" si="2"/>
        <v>40808.208333333336</v>
      </c>
      <c r="O119" s="8">
        <f t="shared" si="3"/>
        <v>40814.208333333336</v>
      </c>
      <c r="P119" s="5">
        <f>_xlfn.DAYS(Table2[[#This Row],[Date Ended Conversion]],Table2[[#This Row],[Date Created Conversion]])+1</f>
        <v>7</v>
      </c>
      <c r="Q119" t="b">
        <v>0</v>
      </c>
      <c r="R119" t="b">
        <v>0</v>
      </c>
      <c r="S119" t="s">
        <v>269</v>
      </c>
      <c r="T119" t="str">
        <f>_xlfn.TEXTBEFORE(Table2[[#This Row],[category &amp; sub-category]],"/")</f>
        <v>film &amp; video</v>
      </c>
      <c r="U119" t="str">
        <f>_xlfn.TEXTAFTER(Table2[[#This Row],[category &amp; sub-category]],"/")</f>
        <v>television</v>
      </c>
    </row>
    <row r="120" spans="1:21" ht="17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5">
        <f>100*Table2[[#This Row],[pledged]]/Table2[[#This Row],[goal]]</f>
        <v>117.61111111111111</v>
      </c>
      <c r="G120" t="s">
        <v>20</v>
      </c>
      <c r="H120">
        <v>67</v>
      </c>
      <c r="I120" s="4">
        <f>IF(Table2[[#This Row],[pledged]]&gt;0,Table2[[#This Row],[pledged]]/Table2[[#This Row],[backers_count]],0)</f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8">
        <f t="shared" si="2"/>
        <v>41665.25</v>
      </c>
      <c r="O120" s="8">
        <f t="shared" si="3"/>
        <v>41671.25</v>
      </c>
      <c r="P120" s="5">
        <f>_xlfn.DAYS(Table2[[#This Row],[Date Ended Conversion]],Table2[[#This Row],[Date Created Conversion]])+1</f>
        <v>7</v>
      </c>
      <c r="Q120" t="b">
        <v>0</v>
      </c>
      <c r="R120" t="b">
        <v>0</v>
      </c>
      <c r="S120" t="s">
        <v>122</v>
      </c>
      <c r="T120" t="str">
        <f>_xlfn.TEXTBEFORE(Table2[[#This Row],[category &amp; sub-category]],"/")</f>
        <v>photography</v>
      </c>
      <c r="U120" t="str">
        <f>_xlfn.TEXTAFTER(Table2[[#This Row],[category &amp; sub-category]],"/")</f>
        <v>photography books</v>
      </c>
    </row>
    <row r="121" spans="1:21" ht="34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5">
        <f>100*Table2[[#This Row],[pledged]]/Table2[[#This Row],[goal]]</f>
        <v>214.96</v>
      </c>
      <c r="G121" t="s">
        <v>20</v>
      </c>
      <c r="H121">
        <v>154</v>
      </c>
      <c r="I121" s="4">
        <f>IF(Table2[[#This Row],[pledged]]&gt;0,Table2[[#This Row],[pledged]]/Table2[[#This Row],[backers_count]],0)</f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8">
        <f t="shared" si="2"/>
        <v>41806.208333333336</v>
      </c>
      <c r="O121" s="8">
        <f t="shared" si="3"/>
        <v>41823.208333333336</v>
      </c>
      <c r="P121" s="5">
        <f>_xlfn.DAYS(Table2[[#This Row],[Date Ended Conversion]],Table2[[#This Row],[Date Created Conversion]])+1</f>
        <v>18</v>
      </c>
      <c r="Q121" t="b">
        <v>0</v>
      </c>
      <c r="R121" t="b">
        <v>1</v>
      </c>
      <c r="S121" t="s">
        <v>42</v>
      </c>
      <c r="T121" t="str">
        <f>_xlfn.TEXTBEFORE(Table2[[#This Row],[category &amp; sub-category]],"/")</f>
        <v>film &amp; video</v>
      </c>
      <c r="U121" t="str">
        <f>_xlfn.TEXTAFTER(Table2[[#This Row],[category &amp; sub-category]],"/")</f>
        <v>documentary</v>
      </c>
    </row>
    <row r="122" spans="1:21" ht="17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5">
        <f>100*Table2[[#This Row],[pledged]]/Table2[[#This Row],[goal]]</f>
        <v>149.49667110519309</v>
      </c>
      <c r="G122" t="s">
        <v>20</v>
      </c>
      <c r="H122">
        <v>1782</v>
      </c>
      <c r="I122" s="4">
        <f>IF(Table2[[#This Row],[pledged]]&gt;0,Table2[[#This Row],[pledged]]/Table2[[#This Row],[backers_count]],0)</f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8">
        <f t="shared" si="2"/>
        <v>42111.208333333328</v>
      </c>
      <c r="O122" s="8">
        <f t="shared" si="3"/>
        <v>42115.208333333328</v>
      </c>
      <c r="P122" s="5">
        <f>_xlfn.DAYS(Table2[[#This Row],[Date Ended Conversion]],Table2[[#This Row],[Date Created Conversion]])+1</f>
        <v>5</v>
      </c>
      <c r="Q122" t="b">
        <v>0</v>
      </c>
      <c r="R122" t="b">
        <v>1</v>
      </c>
      <c r="S122" t="s">
        <v>292</v>
      </c>
      <c r="T122" t="str">
        <f>_xlfn.TEXTBEFORE(Table2[[#This Row],[category &amp; sub-category]],"/")</f>
        <v>games</v>
      </c>
      <c r="U122" t="str">
        <f>_xlfn.TEXTAFTER(Table2[[#This Row],[category &amp; sub-category]],"/")</f>
        <v>mobile games</v>
      </c>
    </row>
    <row r="123" spans="1:21" ht="17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5">
        <f>100*Table2[[#This Row],[pledged]]/Table2[[#This Row],[goal]]</f>
        <v>219.33995584988963</v>
      </c>
      <c r="G123" t="s">
        <v>20</v>
      </c>
      <c r="H123">
        <v>903</v>
      </c>
      <c r="I123" s="4">
        <f>IF(Table2[[#This Row],[pledged]]&gt;0,Table2[[#This Row],[pledged]]/Table2[[#This Row],[backers_count]],0)</f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8">
        <f t="shared" si="2"/>
        <v>41917.208333333336</v>
      </c>
      <c r="O123" s="8">
        <f t="shared" si="3"/>
        <v>41930.208333333336</v>
      </c>
      <c r="P123" s="5">
        <f>_xlfn.DAYS(Table2[[#This Row],[Date Ended Conversion]],Table2[[#This Row],[Date Created Conversion]])+1</f>
        <v>14</v>
      </c>
      <c r="Q123" t="b">
        <v>0</v>
      </c>
      <c r="R123" t="b">
        <v>0</v>
      </c>
      <c r="S123" t="s">
        <v>89</v>
      </c>
      <c r="T123" t="str">
        <f>_xlfn.TEXTBEFORE(Table2[[#This Row],[category &amp; sub-category]],"/")</f>
        <v>games</v>
      </c>
      <c r="U123" t="str">
        <f>_xlfn.TEXTAFTER(Table2[[#This Row],[category &amp; sub-category]],"/")</f>
        <v>video games</v>
      </c>
    </row>
    <row r="124" spans="1:21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5">
        <f>100*Table2[[#This Row],[pledged]]/Table2[[#This Row],[goal]]</f>
        <v>64.367690058479539</v>
      </c>
      <c r="G124" t="s">
        <v>14</v>
      </c>
      <c r="H124">
        <v>3387</v>
      </c>
      <c r="I124" s="4">
        <f>IF(Table2[[#This Row],[pledged]]&gt;0,Table2[[#This Row],[pledged]]/Table2[[#This Row],[backers_count]],0)</f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8">
        <f t="shared" si="2"/>
        <v>41970.25</v>
      </c>
      <c r="O124" s="8">
        <f t="shared" si="3"/>
        <v>41997.25</v>
      </c>
      <c r="P124" s="5">
        <f>_xlfn.DAYS(Table2[[#This Row],[Date Ended Conversion]],Table2[[#This Row],[Date Created Conversion]])+1</f>
        <v>28</v>
      </c>
      <c r="Q124" t="b">
        <v>0</v>
      </c>
      <c r="R124" t="b">
        <v>0</v>
      </c>
      <c r="S124" t="s">
        <v>119</v>
      </c>
      <c r="T124" t="str">
        <f>_xlfn.TEXTBEFORE(Table2[[#This Row],[category &amp; sub-category]],"/")</f>
        <v>publishing</v>
      </c>
      <c r="U124" t="str">
        <f>_xlfn.TEXTAFTER(Table2[[#This Row],[category &amp; sub-category]],"/")</f>
        <v>fiction</v>
      </c>
    </row>
    <row r="125" spans="1:21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5">
        <f>100*Table2[[#This Row],[pledged]]/Table2[[#This Row],[goal]]</f>
        <v>18.622397298818232</v>
      </c>
      <c r="G125" t="s">
        <v>14</v>
      </c>
      <c r="H125">
        <v>662</v>
      </c>
      <c r="I125" s="4">
        <f>IF(Table2[[#This Row],[pledged]]&gt;0,Table2[[#This Row],[pledged]]/Table2[[#This Row],[backers_count]],0)</f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8">
        <f t="shared" si="2"/>
        <v>42332.25</v>
      </c>
      <c r="O125" s="8">
        <f t="shared" si="3"/>
        <v>42335.25</v>
      </c>
      <c r="P125" s="5">
        <f>_xlfn.DAYS(Table2[[#This Row],[Date Ended Conversion]],Table2[[#This Row],[Date Created Conversion]])+1</f>
        <v>4</v>
      </c>
      <c r="Q125" t="b">
        <v>1</v>
      </c>
      <c r="R125" t="b">
        <v>0</v>
      </c>
      <c r="S125" t="s">
        <v>33</v>
      </c>
      <c r="T125" t="str">
        <f>_xlfn.TEXTBEFORE(Table2[[#This Row],[category &amp; sub-category]],"/")</f>
        <v>theater</v>
      </c>
      <c r="U125" t="str">
        <f>_xlfn.TEXTAFTER(Table2[[#This Row],[category &amp; sub-category]],"/")</f>
        <v>plays</v>
      </c>
    </row>
    <row r="126" spans="1:21" ht="17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5">
        <f>100*Table2[[#This Row],[pledged]]/Table2[[#This Row],[goal]]</f>
        <v>367.76923076923077</v>
      </c>
      <c r="G126" t="s">
        <v>20</v>
      </c>
      <c r="H126">
        <v>94</v>
      </c>
      <c r="I126" s="4">
        <f>IF(Table2[[#This Row],[pledged]]&gt;0,Table2[[#This Row],[pledged]]/Table2[[#This Row],[backers_count]],0)</f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8">
        <f t="shared" si="2"/>
        <v>43598.208333333328</v>
      </c>
      <c r="O126" s="8">
        <f t="shared" si="3"/>
        <v>43651.208333333328</v>
      </c>
      <c r="P126" s="5">
        <f>_xlfn.DAYS(Table2[[#This Row],[Date Ended Conversion]],Table2[[#This Row],[Date Created Conversion]])+1</f>
        <v>54</v>
      </c>
      <c r="Q126" t="b">
        <v>0</v>
      </c>
      <c r="R126" t="b">
        <v>0</v>
      </c>
      <c r="S126" t="s">
        <v>122</v>
      </c>
      <c r="T126" t="str">
        <f>_xlfn.TEXTBEFORE(Table2[[#This Row],[category &amp; sub-category]],"/")</f>
        <v>photography</v>
      </c>
      <c r="U126" t="str">
        <f>_xlfn.TEXTAFTER(Table2[[#This Row],[category &amp; sub-category]],"/")</f>
        <v>photography books</v>
      </c>
    </row>
    <row r="127" spans="1:21" ht="17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5">
        <f>100*Table2[[#This Row],[pledged]]/Table2[[#This Row],[goal]]</f>
        <v>159.90566037735849</v>
      </c>
      <c r="G127" t="s">
        <v>20</v>
      </c>
      <c r="H127">
        <v>180</v>
      </c>
      <c r="I127" s="4">
        <f>IF(Table2[[#This Row],[pledged]]&gt;0,Table2[[#This Row],[pledged]]/Table2[[#This Row],[backers_count]],0)</f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8">
        <f t="shared" si="2"/>
        <v>43362.208333333328</v>
      </c>
      <c r="O127" s="8">
        <f t="shared" si="3"/>
        <v>43366.208333333328</v>
      </c>
      <c r="P127" s="5">
        <f>_xlfn.DAYS(Table2[[#This Row],[Date Ended Conversion]],Table2[[#This Row],[Date Created Conversion]])+1</f>
        <v>5</v>
      </c>
      <c r="Q127" t="b">
        <v>0</v>
      </c>
      <c r="R127" t="b">
        <v>0</v>
      </c>
      <c r="S127" t="s">
        <v>33</v>
      </c>
      <c r="T127" t="str">
        <f>_xlfn.TEXTBEFORE(Table2[[#This Row],[category &amp; sub-category]],"/")</f>
        <v>theater</v>
      </c>
      <c r="U127" t="str">
        <f>_xlfn.TEXTAFTER(Table2[[#This Row],[category &amp; sub-category]],"/")</f>
        <v>plays</v>
      </c>
    </row>
    <row r="128" spans="1:21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5">
        <f>100*Table2[[#This Row],[pledged]]/Table2[[#This Row],[goal]]</f>
        <v>38.633185349611544</v>
      </c>
      <c r="G128" t="s">
        <v>14</v>
      </c>
      <c r="H128">
        <v>774</v>
      </c>
      <c r="I128" s="4">
        <f>IF(Table2[[#This Row],[pledged]]&gt;0,Table2[[#This Row],[pledged]]/Table2[[#This Row],[backers_count]],0)</f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8">
        <f t="shared" si="2"/>
        <v>42596.208333333328</v>
      </c>
      <c r="O128" s="8">
        <f t="shared" si="3"/>
        <v>42624.208333333328</v>
      </c>
      <c r="P128" s="5">
        <f>_xlfn.DAYS(Table2[[#This Row],[Date Ended Conversion]],Table2[[#This Row],[Date Created Conversion]])+1</f>
        <v>29</v>
      </c>
      <c r="Q128" t="b">
        <v>0</v>
      </c>
      <c r="R128" t="b">
        <v>1</v>
      </c>
      <c r="S128" t="s">
        <v>33</v>
      </c>
      <c r="T128" t="str">
        <f>_xlfn.TEXTBEFORE(Table2[[#This Row],[category &amp; sub-category]],"/")</f>
        <v>theater</v>
      </c>
      <c r="U128" t="str">
        <f>_xlfn.TEXTAFTER(Table2[[#This Row],[category &amp; sub-category]],"/")</f>
        <v>plays</v>
      </c>
    </row>
    <row r="129" spans="1:21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5">
        <f>100*Table2[[#This Row],[pledged]]/Table2[[#This Row],[goal]]</f>
        <v>51.421511627906973</v>
      </c>
      <c r="G129" t="s">
        <v>14</v>
      </c>
      <c r="H129">
        <v>672</v>
      </c>
      <c r="I129" s="4">
        <f>IF(Table2[[#This Row],[pledged]]&gt;0,Table2[[#This Row],[pledged]]/Table2[[#This Row],[backers_count]],0)</f>
        <v>78.96875</v>
      </c>
      <c r="J129" t="s">
        <v>15</v>
      </c>
      <c r="K129" t="s">
        <v>16</v>
      </c>
      <c r="L129">
        <v>1273640400</v>
      </c>
      <c r="M129">
        <v>1273899600</v>
      </c>
      <c r="N129" s="8">
        <f t="shared" si="2"/>
        <v>40310.208333333336</v>
      </c>
      <c r="O129" s="8">
        <f t="shared" si="3"/>
        <v>40313.208333333336</v>
      </c>
      <c r="P129" s="5">
        <f>_xlfn.DAYS(Table2[[#This Row],[Date Ended Conversion]],Table2[[#This Row],[Date Created Conversion]])+1</f>
        <v>4</v>
      </c>
      <c r="Q129" t="b">
        <v>0</v>
      </c>
      <c r="R129" t="b">
        <v>0</v>
      </c>
      <c r="S129" t="s">
        <v>33</v>
      </c>
      <c r="T129" t="str">
        <f>_xlfn.TEXTBEFORE(Table2[[#This Row],[category &amp; sub-category]],"/")</f>
        <v>theater</v>
      </c>
      <c r="U129" t="str">
        <f>_xlfn.TEXTAFTER(Table2[[#This Row],[category &amp; sub-category]],"/")</f>
        <v>plays</v>
      </c>
    </row>
    <row r="130" spans="1:21" ht="17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5">
        <f>100*Table2[[#This Row],[pledged]]/Table2[[#This Row],[goal]]</f>
        <v>60.334277620396598</v>
      </c>
      <c r="G130" t="s">
        <v>74</v>
      </c>
      <c r="H130">
        <v>532</v>
      </c>
      <c r="I130" s="4">
        <f>IF(Table2[[#This Row],[pledged]]&gt;0,Table2[[#This Row],[pledged]]/Table2[[#This Row],[backers_count]],0)</f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8">
        <f t="shared" ref="N130:N193" si="4">(((L130/60)/60)/24)+DATE(1970,1,1)</f>
        <v>40417.208333333336</v>
      </c>
      <c r="O130" s="8">
        <f t="shared" ref="O130:O193" si="5">(((M130/60)/60)/24)+DATE(1970,1,1)</f>
        <v>40430.208333333336</v>
      </c>
      <c r="P130" s="5">
        <f>_xlfn.DAYS(Table2[[#This Row],[Date Ended Conversion]],Table2[[#This Row],[Date Created Conversion]])+1</f>
        <v>14</v>
      </c>
      <c r="Q130" t="b">
        <v>0</v>
      </c>
      <c r="R130" t="b">
        <v>0</v>
      </c>
      <c r="S130" t="s">
        <v>23</v>
      </c>
      <c r="T130" t="str">
        <f>_xlfn.TEXTBEFORE(Table2[[#This Row],[category &amp; sub-category]],"/")</f>
        <v>music</v>
      </c>
      <c r="U130" t="str">
        <f>_xlfn.TEXTAFTER(Table2[[#This Row],[category &amp; sub-category]],"/")</f>
        <v>rock</v>
      </c>
    </row>
    <row r="131" spans="1:21" ht="17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5">
        <f>100*Table2[[#This Row],[pledged]]/Table2[[#This Row],[goal]]</f>
        <v>3.2026936026936026</v>
      </c>
      <c r="G131" t="s">
        <v>74</v>
      </c>
      <c r="H131">
        <v>55</v>
      </c>
      <c r="I131" s="4">
        <f>IF(Table2[[#This Row],[pledged]]&gt;0,Table2[[#This Row],[pledged]]/Table2[[#This Row],[backers_count]],0)</f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8">
        <f t="shared" si="4"/>
        <v>42038.25</v>
      </c>
      <c r="O131" s="8">
        <f t="shared" si="5"/>
        <v>42063.25</v>
      </c>
      <c r="P131" s="5">
        <f>_xlfn.DAYS(Table2[[#This Row],[Date Ended Conversion]],Table2[[#This Row],[Date Created Conversion]])+1</f>
        <v>26</v>
      </c>
      <c r="Q131" t="b">
        <v>0</v>
      </c>
      <c r="R131" t="b">
        <v>0</v>
      </c>
      <c r="S131" t="s">
        <v>17</v>
      </c>
      <c r="T131" t="str">
        <f>_xlfn.TEXTBEFORE(Table2[[#This Row],[category &amp; sub-category]],"/")</f>
        <v>food</v>
      </c>
      <c r="U131" t="str">
        <f>_xlfn.TEXTAFTER(Table2[[#This Row],[category &amp; sub-category]],"/")</f>
        <v>food trucks</v>
      </c>
    </row>
    <row r="132" spans="1:21" ht="17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5">
        <f>100*Table2[[#This Row],[pledged]]/Table2[[#This Row],[goal]]</f>
        <v>155.46875</v>
      </c>
      <c r="G132" t="s">
        <v>20</v>
      </c>
      <c r="H132">
        <v>533</v>
      </c>
      <c r="I132" s="4">
        <f>IF(Table2[[#This Row],[pledged]]&gt;0,Table2[[#This Row],[pledged]]/Table2[[#This Row],[backers_count]],0)</f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8">
        <f t="shared" si="4"/>
        <v>40842.208333333336</v>
      </c>
      <c r="O132" s="8">
        <f t="shared" si="5"/>
        <v>40858.25</v>
      </c>
      <c r="P132" s="5">
        <f>_xlfn.DAYS(Table2[[#This Row],[Date Ended Conversion]],Table2[[#This Row],[Date Created Conversion]])+1</f>
        <v>17</v>
      </c>
      <c r="Q132" t="b">
        <v>0</v>
      </c>
      <c r="R132" t="b">
        <v>0</v>
      </c>
      <c r="S132" t="s">
        <v>53</v>
      </c>
      <c r="T132" t="str">
        <f>_xlfn.TEXTBEFORE(Table2[[#This Row],[category &amp; sub-category]],"/")</f>
        <v>film &amp; video</v>
      </c>
      <c r="U132" t="str">
        <f>_xlfn.TEXTAFTER(Table2[[#This Row],[category &amp; sub-category]],"/")</f>
        <v>drama</v>
      </c>
    </row>
    <row r="133" spans="1:21" ht="34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5">
        <f>100*Table2[[#This Row],[pledged]]/Table2[[#This Row],[goal]]</f>
        <v>100.85974499089254</v>
      </c>
      <c r="G133" t="s">
        <v>20</v>
      </c>
      <c r="H133">
        <v>2443</v>
      </c>
      <c r="I133" s="4">
        <f>IF(Table2[[#This Row],[pledged]]&gt;0,Table2[[#This Row],[pledged]]/Table2[[#This Row],[backers_count]],0)</f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8">
        <f t="shared" si="4"/>
        <v>41607.25</v>
      </c>
      <c r="O133" s="8">
        <f t="shared" si="5"/>
        <v>41620.25</v>
      </c>
      <c r="P133" s="5">
        <f>_xlfn.DAYS(Table2[[#This Row],[Date Ended Conversion]],Table2[[#This Row],[Date Created Conversion]])+1</f>
        <v>14</v>
      </c>
      <c r="Q133" t="b">
        <v>0</v>
      </c>
      <c r="R133" t="b">
        <v>0</v>
      </c>
      <c r="S133" t="s">
        <v>28</v>
      </c>
      <c r="T133" t="str">
        <f>_xlfn.TEXTBEFORE(Table2[[#This Row],[category &amp; sub-category]],"/")</f>
        <v>technology</v>
      </c>
      <c r="U133" t="str">
        <f>_xlfn.TEXTAFTER(Table2[[#This Row],[category &amp; sub-category]],"/")</f>
        <v>web</v>
      </c>
    </row>
    <row r="134" spans="1:21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5">
        <f>100*Table2[[#This Row],[pledged]]/Table2[[#This Row],[goal]]</f>
        <v>116.18181818181819</v>
      </c>
      <c r="G134" t="s">
        <v>20</v>
      </c>
      <c r="H134">
        <v>89</v>
      </c>
      <c r="I134" s="4">
        <f>IF(Table2[[#This Row],[pledged]]&gt;0,Table2[[#This Row],[pledged]]/Table2[[#This Row],[backers_count]],0)</f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8">
        <f t="shared" si="4"/>
        <v>43112.25</v>
      </c>
      <c r="O134" s="8">
        <f t="shared" si="5"/>
        <v>43128.25</v>
      </c>
      <c r="P134" s="5">
        <f>_xlfn.DAYS(Table2[[#This Row],[Date Ended Conversion]],Table2[[#This Row],[Date Created Conversion]])+1</f>
        <v>17</v>
      </c>
      <c r="Q134" t="b">
        <v>0</v>
      </c>
      <c r="R134" t="b">
        <v>1</v>
      </c>
      <c r="S134" t="s">
        <v>33</v>
      </c>
      <c r="T134" t="str">
        <f>_xlfn.TEXTBEFORE(Table2[[#This Row],[category &amp; sub-category]],"/")</f>
        <v>theater</v>
      </c>
      <c r="U134" t="str">
        <f>_xlfn.TEXTAFTER(Table2[[#This Row],[category &amp; sub-category]],"/")</f>
        <v>plays</v>
      </c>
    </row>
    <row r="135" spans="1:21" ht="17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5">
        <f>100*Table2[[#This Row],[pledged]]/Table2[[#This Row],[goal]]</f>
        <v>310.77777777777777</v>
      </c>
      <c r="G135" t="s">
        <v>20</v>
      </c>
      <c r="H135">
        <v>159</v>
      </c>
      <c r="I135" s="4">
        <f>IF(Table2[[#This Row],[pledged]]&gt;0,Table2[[#This Row],[pledged]]/Table2[[#This Row],[backers_count]],0)</f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8">
        <f t="shared" si="4"/>
        <v>40767.208333333336</v>
      </c>
      <c r="O135" s="8">
        <f t="shared" si="5"/>
        <v>40789.208333333336</v>
      </c>
      <c r="P135" s="5">
        <f>_xlfn.DAYS(Table2[[#This Row],[Date Ended Conversion]],Table2[[#This Row],[Date Created Conversion]])+1</f>
        <v>23</v>
      </c>
      <c r="Q135" t="b">
        <v>0</v>
      </c>
      <c r="R135" t="b">
        <v>0</v>
      </c>
      <c r="S135" t="s">
        <v>319</v>
      </c>
      <c r="T135" t="str">
        <f>_xlfn.TEXTBEFORE(Table2[[#This Row],[category &amp; sub-category]],"/")</f>
        <v>music</v>
      </c>
      <c r="U135" t="str">
        <f>_xlfn.TEXTAFTER(Table2[[#This Row],[category &amp; sub-category]],"/")</f>
        <v>world music</v>
      </c>
    </row>
    <row r="136" spans="1:21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5">
        <f>100*Table2[[#This Row],[pledged]]/Table2[[#This Row],[goal]]</f>
        <v>89.73668341708543</v>
      </c>
      <c r="G136" t="s">
        <v>14</v>
      </c>
      <c r="H136">
        <v>940</v>
      </c>
      <c r="I136" s="4">
        <f>IF(Table2[[#This Row],[pledged]]&gt;0,Table2[[#This Row],[pledged]]/Table2[[#This Row],[backers_count]],0)</f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8">
        <f t="shared" si="4"/>
        <v>40713.208333333336</v>
      </c>
      <c r="O136" s="8">
        <f t="shared" si="5"/>
        <v>40762.208333333336</v>
      </c>
      <c r="P136" s="5">
        <f>_xlfn.DAYS(Table2[[#This Row],[Date Ended Conversion]],Table2[[#This Row],[Date Created Conversion]])+1</f>
        <v>50</v>
      </c>
      <c r="Q136" t="b">
        <v>0</v>
      </c>
      <c r="R136" t="b">
        <v>1</v>
      </c>
      <c r="S136" t="s">
        <v>42</v>
      </c>
      <c r="T136" t="str">
        <f>_xlfn.TEXTBEFORE(Table2[[#This Row],[category &amp; sub-category]],"/")</f>
        <v>film &amp; video</v>
      </c>
      <c r="U136" t="str">
        <f>_xlfn.TEXTAFTER(Table2[[#This Row],[category &amp; sub-category]],"/")</f>
        <v>documentary</v>
      </c>
    </row>
    <row r="137" spans="1:21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5">
        <f>100*Table2[[#This Row],[pledged]]/Table2[[#This Row],[goal]]</f>
        <v>71.272727272727266</v>
      </c>
      <c r="G137" t="s">
        <v>14</v>
      </c>
      <c r="H137">
        <v>117</v>
      </c>
      <c r="I137" s="4">
        <f>IF(Table2[[#This Row],[pledged]]&gt;0,Table2[[#This Row],[pledged]]/Table2[[#This Row],[backers_count]],0)</f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8">
        <f t="shared" si="4"/>
        <v>41340.25</v>
      </c>
      <c r="O137" s="8">
        <f t="shared" si="5"/>
        <v>41345.208333333336</v>
      </c>
      <c r="P137" s="5">
        <f>_xlfn.DAYS(Table2[[#This Row],[Date Ended Conversion]],Table2[[#This Row],[Date Created Conversion]])+1</f>
        <v>6</v>
      </c>
      <c r="Q137" t="b">
        <v>0</v>
      </c>
      <c r="R137" t="b">
        <v>1</v>
      </c>
      <c r="S137" t="s">
        <v>33</v>
      </c>
      <c r="T137" t="str">
        <f>_xlfn.TEXTBEFORE(Table2[[#This Row],[category &amp; sub-category]],"/")</f>
        <v>theater</v>
      </c>
      <c r="U137" t="str">
        <f>_xlfn.TEXTAFTER(Table2[[#This Row],[category &amp; sub-category]],"/")</f>
        <v>plays</v>
      </c>
    </row>
    <row r="138" spans="1:21" ht="17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5">
        <f>100*Table2[[#This Row],[pledged]]/Table2[[#This Row],[goal]]</f>
        <v>3.2862318840579712</v>
      </c>
      <c r="G138" t="s">
        <v>74</v>
      </c>
      <c r="H138">
        <v>58</v>
      </c>
      <c r="I138" s="4">
        <f>IF(Table2[[#This Row],[pledged]]&gt;0,Table2[[#This Row],[pledged]]/Table2[[#This Row],[backers_count]],0)</f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8">
        <f t="shared" si="4"/>
        <v>41797.208333333336</v>
      </c>
      <c r="O138" s="8">
        <f t="shared" si="5"/>
        <v>41809.208333333336</v>
      </c>
      <c r="P138" s="5">
        <f>_xlfn.DAYS(Table2[[#This Row],[Date Ended Conversion]],Table2[[#This Row],[Date Created Conversion]])+1</f>
        <v>13</v>
      </c>
      <c r="Q138" t="b">
        <v>0</v>
      </c>
      <c r="R138" t="b">
        <v>1</v>
      </c>
      <c r="S138" t="s">
        <v>53</v>
      </c>
      <c r="T138" t="str">
        <f>_xlfn.TEXTBEFORE(Table2[[#This Row],[category &amp; sub-category]],"/")</f>
        <v>film &amp; video</v>
      </c>
      <c r="U138" t="str">
        <f>_xlfn.TEXTAFTER(Table2[[#This Row],[category &amp; sub-category]],"/")</f>
        <v>drama</v>
      </c>
    </row>
    <row r="139" spans="1:21" ht="17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5">
        <f>100*Table2[[#This Row],[pledged]]/Table2[[#This Row],[goal]]</f>
        <v>261.77777777777777</v>
      </c>
      <c r="G139" t="s">
        <v>20</v>
      </c>
      <c r="H139">
        <v>50</v>
      </c>
      <c r="I139" s="4">
        <f>IF(Table2[[#This Row],[pledged]]&gt;0,Table2[[#This Row],[pledged]]/Table2[[#This Row],[backers_count]],0)</f>
        <v>94.24</v>
      </c>
      <c r="J139" t="s">
        <v>21</v>
      </c>
      <c r="K139" t="s">
        <v>22</v>
      </c>
      <c r="L139">
        <v>1286341200</v>
      </c>
      <c r="M139">
        <v>1286859600</v>
      </c>
      <c r="N139" s="8">
        <f t="shared" si="4"/>
        <v>40457.208333333336</v>
      </c>
      <c r="O139" s="8">
        <f t="shared" si="5"/>
        <v>40463.208333333336</v>
      </c>
      <c r="P139" s="5">
        <f>_xlfn.DAYS(Table2[[#This Row],[Date Ended Conversion]],Table2[[#This Row],[Date Created Conversion]])+1</f>
        <v>7</v>
      </c>
      <c r="Q139" t="b">
        <v>0</v>
      </c>
      <c r="R139" t="b">
        <v>0</v>
      </c>
      <c r="S139" t="s">
        <v>68</v>
      </c>
      <c r="T139" t="str">
        <f>_xlfn.TEXTBEFORE(Table2[[#This Row],[category &amp; sub-category]],"/")</f>
        <v>publishing</v>
      </c>
      <c r="U139" t="str">
        <f>_xlfn.TEXTAFTER(Table2[[#This Row],[category &amp; sub-category]],"/")</f>
        <v>nonfiction</v>
      </c>
    </row>
    <row r="140" spans="1:21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5">
        <f>100*Table2[[#This Row],[pledged]]/Table2[[#This Row],[goal]]</f>
        <v>96</v>
      </c>
      <c r="G140" t="s">
        <v>14</v>
      </c>
      <c r="H140">
        <v>115</v>
      </c>
      <c r="I140" s="4">
        <f>IF(Table2[[#This Row],[pledged]]&gt;0,Table2[[#This Row],[pledged]]/Table2[[#This Row],[backers_count]],0)</f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8">
        <f t="shared" si="4"/>
        <v>41180.208333333336</v>
      </c>
      <c r="O140" s="8">
        <f t="shared" si="5"/>
        <v>41186.208333333336</v>
      </c>
      <c r="P140" s="5">
        <f>_xlfn.DAYS(Table2[[#This Row],[Date Ended Conversion]],Table2[[#This Row],[Date Created Conversion]])+1</f>
        <v>7</v>
      </c>
      <c r="Q140" t="b">
        <v>0</v>
      </c>
      <c r="R140" t="b">
        <v>0</v>
      </c>
      <c r="S140" t="s">
        <v>292</v>
      </c>
      <c r="T140" t="str">
        <f>_xlfn.TEXTBEFORE(Table2[[#This Row],[category &amp; sub-category]],"/")</f>
        <v>games</v>
      </c>
      <c r="U140" t="str">
        <f>_xlfn.TEXTAFTER(Table2[[#This Row],[category &amp; sub-category]],"/")</f>
        <v>mobile games</v>
      </c>
    </row>
    <row r="141" spans="1:21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5">
        <f>100*Table2[[#This Row],[pledged]]/Table2[[#This Row],[goal]]</f>
        <v>20.896851248642779</v>
      </c>
      <c r="G141" t="s">
        <v>14</v>
      </c>
      <c r="H141">
        <v>326</v>
      </c>
      <c r="I141" s="4">
        <f>IF(Table2[[#This Row],[pledged]]&gt;0,Table2[[#This Row],[pledged]]/Table2[[#This Row],[backers_count]],0)</f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8">
        <f t="shared" si="4"/>
        <v>42115.208333333328</v>
      </c>
      <c r="O141" s="8">
        <f t="shared" si="5"/>
        <v>42131.208333333328</v>
      </c>
      <c r="P141" s="5">
        <f>_xlfn.DAYS(Table2[[#This Row],[Date Ended Conversion]],Table2[[#This Row],[Date Created Conversion]])+1</f>
        <v>17</v>
      </c>
      <c r="Q141" t="b">
        <v>0</v>
      </c>
      <c r="R141" t="b">
        <v>1</v>
      </c>
      <c r="S141" t="s">
        <v>65</v>
      </c>
      <c r="T141" t="str">
        <f>_xlfn.TEXTBEFORE(Table2[[#This Row],[category &amp; sub-category]],"/")</f>
        <v>technology</v>
      </c>
      <c r="U141" t="str">
        <f>_xlfn.TEXTAFTER(Table2[[#This Row],[category &amp; sub-category]],"/")</f>
        <v>wearables</v>
      </c>
    </row>
    <row r="142" spans="1:21" ht="34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5">
        <f>100*Table2[[#This Row],[pledged]]/Table2[[#This Row],[goal]]</f>
        <v>223.16363636363636</v>
      </c>
      <c r="G142" t="s">
        <v>20</v>
      </c>
      <c r="H142">
        <v>186</v>
      </c>
      <c r="I142" s="4">
        <f>IF(Table2[[#This Row],[pledged]]&gt;0,Table2[[#This Row],[pledged]]/Table2[[#This Row],[backers_count]],0)</f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8">
        <f t="shared" si="4"/>
        <v>43156.25</v>
      </c>
      <c r="O142" s="8">
        <f t="shared" si="5"/>
        <v>43161.25</v>
      </c>
      <c r="P142" s="5">
        <f>_xlfn.DAYS(Table2[[#This Row],[Date Ended Conversion]],Table2[[#This Row],[Date Created Conversion]])+1</f>
        <v>6</v>
      </c>
      <c r="Q142" t="b">
        <v>0</v>
      </c>
      <c r="R142" t="b">
        <v>0</v>
      </c>
      <c r="S142" t="s">
        <v>42</v>
      </c>
      <c r="T142" t="str">
        <f>_xlfn.TEXTBEFORE(Table2[[#This Row],[category &amp; sub-category]],"/")</f>
        <v>film &amp; video</v>
      </c>
      <c r="U142" t="str">
        <f>_xlfn.TEXTAFTER(Table2[[#This Row],[category &amp; sub-category]],"/")</f>
        <v>documentary</v>
      </c>
    </row>
    <row r="143" spans="1:21" ht="17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5">
        <f>100*Table2[[#This Row],[pledged]]/Table2[[#This Row],[goal]]</f>
        <v>101.59097978227061</v>
      </c>
      <c r="G143" t="s">
        <v>20</v>
      </c>
      <c r="H143">
        <v>1071</v>
      </c>
      <c r="I143" s="4">
        <f>IF(Table2[[#This Row],[pledged]]&gt;0,Table2[[#This Row],[pledged]]/Table2[[#This Row],[backers_count]],0)</f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8">
        <f t="shared" si="4"/>
        <v>42167.208333333328</v>
      </c>
      <c r="O143" s="8">
        <f t="shared" si="5"/>
        <v>42173.208333333328</v>
      </c>
      <c r="P143" s="5">
        <f>_xlfn.DAYS(Table2[[#This Row],[Date Ended Conversion]],Table2[[#This Row],[Date Created Conversion]])+1</f>
        <v>7</v>
      </c>
      <c r="Q143" t="b">
        <v>0</v>
      </c>
      <c r="R143" t="b">
        <v>0</v>
      </c>
      <c r="S143" t="s">
        <v>28</v>
      </c>
      <c r="T143" t="str">
        <f>_xlfn.TEXTBEFORE(Table2[[#This Row],[category &amp; sub-category]],"/")</f>
        <v>technology</v>
      </c>
      <c r="U143" t="str">
        <f>_xlfn.TEXTAFTER(Table2[[#This Row],[category &amp; sub-category]],"/")</f>
        <v>web</v>
      </c>
    </row>
    <row r="144" spans="1:21" ht="34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5">
        <f>100*Table2[[#This Row],[pledged]]/Table2[[#This Row],[goal]]</f>
        <v>230.04</v>
      </c>
      <c r="G144" t="s">
        <v>20</v>
      </c>
      <c r="H144">
        <v>117</v>
      </c>
      <c r="I144" s="4">
        <f>IF(Table2[[#This Row],[pledged]]&gt;0,Table2[[#This Row],[pledged]]/Table2[[#This Row],[backers_count]],0)</f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8">
        <f t="shared" si="4"/>
        <v>41005.208333333336</v>
      </c>
      <c r="O144" s="8">
        <f t="shared" si="5"/>
        <v>41046.208333333336</v>
      </c>
      <c r="P144" s="5">
        <f>_xlfn.DAYS(Table2[[#This Row],[Date Ended Conversion]],Table2[[#This Row],[Date Created Conversion]])+1</f>
        <v>42</v>
      </c>
      <c r="Q144" t="b">
        <v>0</v>
      </c>
      <c r="R144" t="b">
        <v>0</v>
      </c>
      <c r="S144" t="s">
        <v>28</v>
      </c>
      <c r="T144" t="str">
        <f>_xlfn.TEXTBEFORE(Table2[[#This Row],[category &amp; sub-category]],"/")</f>
        <v>technology</v>
      </c>
      <c r="U144" t="str">
        <f>_xlfn.TEXTAFTER(Table2[[#This Row],[category &amp; sub-category]],"/")</f>
        <v>web</v>
      </c>
    </row>
    <row r="145" spans="1:21" ht="17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5">
        <f>100*Table2[[#This Row],[pledged]]/Table2[[#This Row],[goal]]</f>
        <v>135.59259259259258</v>
      </c>
      <c r="G145" t="s">
        <v>20</v>
      </c>
      <c r="H145">
        <v>70</v>
      </c>
      <c r="I145" s="4">
        <f>IF(Table2[[#This Row],[pledged]]&gt;0,Table2[[#This Row],[pledged]]/Table2[[#This Row],[backers_count]],0)</f>
        <v>104.6</v>
      </c>
      <c r="J145" t="s">
        <v>21</v>
      </c>
      <c r="K145" t="s">
        <v>22</v>
      </c>
      <c r="L145">
        <v>1277701200</v>
      </c>
      <c r="M145">
        <v>1279429200</v>
      </c>
      <c r="N145" s="8">
        <f t="shared" si="4"/>
        <v>40357.208333333336</v>
      </c>
      <c r="O145" s="8">
        <f t="shared" si="5"/>
        <v>40377.208333333336</v>
      </c>
      <c r="P145" s="5">
        <f>_xlfn.DAYS(Table2[[#This Row],[Date Ended Conversion]],Table2[[#This Row],[Date Created Conversion]])+1</f>
        <v>21</v>
      </c>
      <c r="Q145" t="b">
        <v>0</v>
      </c>
      <c r="R145" t="b">
        <v>0</v>
      </c>
      <c r="S145" t="s">
        <v>60</v>
      </c>
      <c r="T145" t="str">
        <f>_xlfn.TEXTBEFORE(Table2[[#This Row],[category &amp; sub-category]],"/")</f>
        <v>music</v>
      </c>
      <c r="U145" t="str">
        <f>_xlfn.TEXTAFTER(Table2[[#This Row],[category &amp; sub-category]],"/")</f>
        <v>indie rock</v>
      </c>
    </row>
    <row r="146" spans="1:21" ht="17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5">
        <f>100*Table2[[#This Row],[pledged]]/Table2[[#This Row],[goal]]</f>
        <v>129.1</v>
      </c>
      <c r="G146" t="s">
        <v>20</v>
      </c>
      <c r="H146">
        <v>135</v>
      </c>
      <c r="I146" s="4">
        <f>IF(Table2[[#This Row],[pledged]]&gt;0,Table2[[#This Row],[pledged]]/Table2[[#This Row],[backers_count]],0)</f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8">
        <f t="shared" si="4"/>
        <v>43633.208333333328</v>
      </c>
      <c r="O146" s="8">
        <f t="shared" si="5"/>
        <v>43641.208333333328</v>
      </c>
      <c r="P146" s="5">
        <f>_xlfn.DAYS(Table2[[#This Row],[Date Ended Conversion]],Table2[[#This Row],[Date Created Conversion]])+1</f>
        <v>9</v>
      </c>
      <c r="Q146" t="b">
        <v>0</v>
      </c>
      <c r="R146" t="b">
        <v>0</v>
      </c>
      <c r="S146" t="s">
        <v>33</v>
      </c>
      <c r="T146" t="str">
        <f>_xlfn.TEXTBEFORE(Table2[[#This Row],[category &amp; sub-category]],"/")</f>
        <v>theater</v>
      </c>
      <c r="U146" t="str">
        <f>_xlfn.TEXTAFTER(Table2[[#This Row],[category &amp; sub-category]],"/")</f>
        <v>plays</v>
      </c>
    </row>
    <row r="147" spans="1:21" ht="17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5">
        <f>100*Table2[[#This Row],[pledged]]/Table2[[#This Row],[goal]]</f>
        <v>236.512</v>
      </c>
      <c r="G147" t="s">
        <v>20</v>
      </c>
      <c r="H147">
        <v>768</v>
      </c>
      <c r="I147" s="4">
        <f>IF(Table2[[#This Row],[pledged]]&gt;0,Table2[[#This Row],[pledged]]/Table2[[#This Row],[backers_count]],0)</f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8">
        <f t="shared" si="4"/>
        <v>41889.208333333336</v>
      </c>
      <c r="O147" s="8">
        <f t="shared" si="5"/>
        <v>41894.208333333336</v>
      </c>
      <c r="P147" s="5">
        <f>_xlfn.DAYS(Table2[[#This Row],[Date Ended Conversion]],Table2[[#This Row],[Date Created Conversion]])+1</f>
        <v>6</v>
      </c>
      <c r="Q147" t="b">
        <v>0</v>
      </c>
      <c r="R147" t="b">
        <v>0</v>
      </c>
      <c r="S147" t="s">
        <v>65</v>
      </c>
      <c r="T147" t="str">
        <f>_xlfn.TEXTBEFORE(Table2[[#This Row],[category &amp; sub-category]],"/")</f>
        <v>technology</v>
      </c>
      <c r="U147" t="str">
        <f>_xlfn.TEXTAFTER(Table2[[#This Row],[category &amp; sub-category]],"/")</f>
        <v>wearables</v>
      </c>
    </row>
    <row r="148" spans="1:21" ht="34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5">
        <f>100*Table2[[#This Row],[pledged]]/Table2[[#This Row],[goal]]</f>
        <v>17.25</v>
      </c>
      <c r="G148" t="s">
        <v>74</v>
      </c>
      <c r="H148">
        <v>51</v>
      </c>
      <c r="I148" s="4">
        <f>IF(Table2[[#This Row],[pledged]]&gt;0,Table2[[#This Row],[pledged]]/Table2[[#This Row],[backers_count]],0)</f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8">
        <f t="shared" si="4"/>
        <v>40855.25</v>
      </c>
      <c r="O148" s="8">
        <f t="shared" si="5"/>
        <v>40875.25</v>
      </c>
      <c r="P148" s="5">
        <f>_xlfn.DAYS(Table2[[#This Row],[Date Ended Conversion]],Table2[[#This Row],[Date Created Conversion]])+1</f>
        <v>21</v>
      </c>
      <c r="Q148" t="b">
        <v>0</v>
      </c>
      <c r="R148" t="b">
        <v>0</v>
      </c>
      <c r="S148" t="s">
        <v>33</v>
      </c>
      <c r="T148" t="str">
        <f>_xlfn.TEXTBEFORE(Table2[[#This Row],[category &amp; sub-category]],"/")</f>
        <v>theater</v>
      </c>
      <c r="U148" t="str">
        <f>_xlfn.TEXTAFTER(Table2[[#This Row],[category &amp; sub-category]],"/")</f>
        <v>plays</v>
      </c>
    </row>
    <row r="149" spans="1:21" ht="34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5">
        <f>100*Table2[[#This Row],[pledged]]/Table2[[#This Row],[goal]]</f>
        <v>112.49397590361446</v>
      </c>
      <c r="G149" t="s">
        <v>20</v>
      </c>
      <c r="H149">
        <v>199</v>
      </c>
      <c r="I149" s="4">
        <f>IF(Table2[[#This Row],[pledged]]&gt;0,Table2[[#This Row],[pledged]]/Table2[[#This Row],[backers_count]],0)</f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8">
        <f t="shared" si="4"/>
        <v>42534.208333333328</v>
      </c>
      <c r="O149" s="8">
        <f t="shared" si="5"/>
        <v>42540.208333333328</v>
      </c>
      <c r="P149" s="5">
        <f>_xlfn.DAYS(Table2[[#This Row],[Date Ended Conversion]],Table2[[#This Row],[Date Created Conversion]])+1</f>
        <v>7</v>
      </c>
      <c r="Q149" t="b">
        <v>0</v>
      </c>
      <c r="R149" t="b">
        <v>1</v>
      </c>
      <c r="S149" t="s">
        <v>33</v>
      </c>
      <c r="T149" t="str">
        <f>_xlfn.TEXTBEFORE(Table2[[#This Row],[category &amp; sub-category]],"/")</f>
        <v>theater</v>
      </c>
      <c r="U149" t="str">
        <f>_xlfn.TEXTAFTER(Table2[[#This Row],[category &amp; sub-category]],"/")</f>
        <v>plays</v>
      </c>
    </row>
    <row r="150" spans="1:21" ht="17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5">
        <f>100*Table2[[#This Row],[pledged]]/Table2[[#This Row],[goal]]</f>
        <v>121.02150537634408</v>
      </c>
      <c r="G150" t="s">
        <v>20</v>
      </c>
      <c r="H150">
        <v>107</v>
      </c>
      <c r="I150" s="4">
        <f>IF(Table2[[#This Row],[pledged]]&gt;0,Table2[[#This Row],[pledged]]/Table2[[#This Row],[backers_count]],0)</f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8">
        <f t="shared" si="4"/>
        <v>42941.208333333328</v>
      </c>
      <c r="O150" s="8">
        <f t="shared" si="5"/>
        <v>42950.208333333328</v>
      </c>
      <c r="P150" s="5">
        <f>_xlfn.DAYS(Table2[[#This Row],[Date Ended Conversion]],Table2[[#This Row],[Date Created Conversion]])+1</f>
        <v>10</v>
      </c>
      <c r="Q150" t="b">
        <v>0</v>
      </c>
      <c r="R150" t="b">
        <v>0</v>
      </c>
      <c r="S150" t="s">
        <v>65</v>
      </c>
      <c r="T150" t="str">
        <f>_xlfn.TEXTBEFORE(Table2[[#This Row],[category &amp; sub-category]],"/")</f>
        <v>technology</v>
      </c>
      <c r="U150" t="str">
        <f>_xlfn.TEXTAFTER(Table2[[#This Row],[category &amp; sub-category]],"/")</f>
        <v>wearables</v>
      </c>
    </row>
    <row r="151" spans="1:21" ht="17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5">
        <f>100*Table2[[#This Row],[pledged]]/Table2[[#This Row],[goal]]</f>
        <v>219.87096774193549</v>
      </c>
      <c r="G151" t="s">
        <v>20</v>
      </c>
      <c r="H151">
        <v>195</v>
      </c>
      <c r="I151" s="4">
        <f>IF(Table2[[#This Row],[pledged]]&gt;0,Table2[[#This Row],[pledged]]/Table2[[#This Row],[backers_count]],0)</f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8">
        <f t="shared" si="4"/>
        <v>41275.25</v>
      </c>
      <c r="O151" s="8">
        <f t="shared" si="5"/>
        <v>41327.25</v>
      </c>
      <c r="P151" s="5">
        <f>_xlfn.DAYS(Table2[[#This Row],[Date Ended Conversion]],Table2[[#This Row],[Date Created Conversion]])+1</f>
        <v>53</v>
      </c>
      <c r="Q151" t="b">
        <v>0</v>
      </c>
      <c r="R151" t="b">
        <v>0</v>
      </c>
      <c r="S151" t="s">
        <v>60</v>
      </c>
      <c r="T151" t="str">
        <f>_xlfn.TEXTBEFORE(Table2[[#This Row],[category &amp; sub-category]],"/")</f>
        <v>music</v>
      </c>
      <c r="U151" t="str">
        <f>_xlfn.TEXTAFTER(Table2[[#This Row],[category &amp; sub-category]],"/")</f>
        <v>indie rock</v>
      </c>
    </row>
    <row r="152" spans="1:21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5">
        <f>100*Table2[[#This Row],[pledged]]/Table2[[#This Row],[goal]]</f>
        <v>1</v>
      </c>
      <c r="G152" t="s">
        <v>14</v>
      </c>
      <c r="H152">
        <v>1</v>
      </c>
      <c r="I152" s="4">
        <f>IF(Table2[[#This Row],[pledged]]&gt;0,Table2[[#This Row],[pledged]]/Table2[[#This Row],[backers_count]],0)</f>
        <v>1</v>
      </c>
      <c r="J152" t="s">
        <v>21</v>
      </c>
      <c r="K152" t="s">
        <v>22</v>
      </c>
      <c r="L152">
        <v>1544940000</v>
      </c>
      <c r="M152">
        <v>1545026400</v>
      </c>
      <c r="N152" s="8">
        <f t="shared" si="4"/>
        <v>43450.25</v>
      </c>
      <c r="O152" s="8">
        <f t="shared" si="5"/>
        <v>43451.25</v>
      </c>
      <c r="P152" s="5">
        <f>_xlfn.DAYS(Table2[[#This Row],[Date Ended Conversion]],Table2[[#This Row],[Date Created Conversion]])+1</f>
        <v>2</v>
      </c>
      <c r="Q152" t="b">
        <v>0</v>
      </c>
      <c r="R152" t="b">
        <v>0</v>
      </c>
      <c r="S152" t="s">
        <v>23</v>
      </c>
      <c r="T152" t="str">
        <f>_xlfn.TEXTBEFORE(Table2[[#This Row],[category &amp; sub-category]],"/")</f>
        <v>music</v>
      </c>
      <c r="U152" t="str">
        <f>_xlfn.TEXTAFTER(Table2[[#This Row],[category &amp; sub-category]],"/")</f>
        <v>rock</v>
      </c>
    </row>
    <row r="153" spans="1:21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5">
        <f>100*Table2[[#This Row],[pledged]]/Table2[[#This Row],[goal]]</f>
        <v>64.166909620991248</v>
      </c>
      <c r="G153" t="s">
        <v>14</v>
      </c>
      <c r="H153">
        <v>1467</v>
      </c>
      <c r="I153" s="4">
        <f>IF(Table2[[#This Row],[pledged]]&gt;0,Table2[[#This Row],[pledged]]/Table2[[#This Row],[backers_count]],0)</f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8">
        <f t="shared" si="4"/>
        <v>41799.208333333336</v>
      </c>
      <c r="O153" s="8">
        <f t="shared" si="5"/>
        <v>41850.208333333336</v>
      </c>
      <c r="P153" s="5">
        <f>_xlfn.DAYS(Table2[[#This Row],[Date Ended Conversion]],Table2[[#This Row],[Date Created Conversion]])+1</f>
        <v>52</v>
      </c>
      <c r="Q153" t="b">
        <v>0</v>
      </c>
      <c r="R153" t="b">
        <v>0</v>
      </c>
      <c r="S153" t="s">
        <v>50</v>
      </c>
      <c r="T153" t="str">
        <f>_xlfn.TEXTBEFORE(Table2[[#This Row],[category &amp; sub-category]],"/")</f>
        <v>music</v>
      </c>
      <c r="U153" t="str">
        <f>_xlfn.TEXTAFTER(Table2[[#This Row],[category &amp; sub-category]],"/")</f>
        <v>electric music</v>
      </c>
    </row>
    <row r="154" spans="1:21" ht="17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5">
        <f>100*Table2[[#This Row],[pledged]]/Table2[[#This Row],[goal]]</f>
        <v>423.06746987951806</v>
      </c>
      <c r="G154" t="s">
        <v>20</v>
      </c>
      <c r="H154">
        <v>3376</v>
      </c>
      <c r="I154" s="4">
        <f>IF(Table2[[#This Row],[pledged]]&gt;0,Table2[[#This Row],[pledged]]/Table2[[#This Row],[backers_count]],0)</f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8">
        <f t="shared" si="4"/>
        <v>42783.25</v>
      </c>
      <c r="O154" s="8">
        <f t="shared" si="5"/>
        <v>42790.25</v>
      </c>
      <c r="P154" s="5">
        <f>_xlfn.DAYS(Table2[[#This Row],[Date Ended Conversion]],Table2[[#This Row],[Date Created Conversion]])+1</f>
        <v>8</v>
      </c>
      <c r="Q154" t="b">
        <v>0</v>
      </c>
      <c r="R154" t="b">
        <v>0</v>
      </c>
      <c r="S154" t="s">
        <v>60</v>
      </c>
      <c r="T154" t="str">
        <f>_xlfn.TEXTBEFORE(Table2[[#This Row],[category &amp; sub-category]],"/")</f>
        <v>music</v>
      </c>
      <c r="U154" t="str">
        <f>_xlfn.TEXTAFTER(Table2[[#This Row],[category &amp; sub-category]],"/")</f>
        <v>indie rock</v>
      </c>
    </row>
    <row r="155" spans="1:21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5">
        <f>100*Table2[[#This Row],[pledged]]/Table2[[#This Row],[goal]]</f>
        <v>92.984160506863773</v>
      </c>
      <c r="G155" t="s">
        <v>14</v>
      </c>
      <c r="H155">
        <v>5681</v>
      </c>
      <c r="I155" s="4">
        <f>IF(Table2[[#This Row],[pledged]]&gt;0,Table2[[#This Row],[pledged]]/Table2[[#This Row],[backers_count]],0)</f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8">
        <f t="shared" si="4"/>
        <v>41201.208333333336</v>
      </c>
      <c r="O155" s="8">
        <f t="shared" si="5"/>
        <v>41207.208333333336</v>
      </c>
      <c r="P155" s="5">
        <f>_xlfn.DAYS(Table2[[#This Row],[Date Ended Conversion]],Table2[[#This Row],[Date Created Conversion]])+1</f>
        <v>7</v>
      </c>
      <c r="Q155" t="b">
        <v>0</v>
      </c>
      <c r="R155" t="b">
        <v>0</v>
      </c>
      <c r="S155" t="s">
        <v>33</v>
      </c>
      <c r="T155" t="str">
        <f>_xlfn.TEXTBEFORE(Table2[[#This Row],[category &amp; sub-category]],"/")</f>
        <v>theater</v>
      </c>
      <c r="U155" t="str">
        <f>_xlfn.TEXTAFTER(Table2[[#This Row],[category &amp; sub-category]],"/")</f>
        <v>plays</v>
      </c>
    </row>
    <row r="156" spans="1:21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5">
        <f>100*Table2[[#This Row],[pledged]]/Table2[[#This Row],[goal]]</f>
        <v>58.75656742556918</v>
      </c>
      <c r="G156" t="s">
        <v>14</v>
      </c>
      <c r="H156">
        <v>1059</v>
      </c>
      <c r="I156" s="4">
        <f>IF(Table2[[#This Row],[pledged]]&gt;0,Table2[[#This Row],[pledged]]/Table2[[#This Row],[backers_count]],0)</f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8">
        <f t="shared" si="4"/>
        <v>42502.208333333328</v>
      </c>
      <c r="O156" s="8">
        <f t="shared" si="5"/>
        <v>42525.208333333328</v>
      </c>
      <c r="P156" s="5">
        <f>_xlfn.DAYS(Table2[[#This Row],[Date Ended Conversion]],Table2[[#This Row],[Date Created Conversion]])+1</f>
        <v>24</v>
      </c>
      <c r="Q156" t="b">
        <v>0</v>
      </c>
      <c r="R156" t="b">
        <v>1</v>
      </c>
      <c r="S156" t="s">
        <v>60</v>
      </c>
      <c r="T156" t="str">
        <f>_xlfn.TEXTBEFORE(Table2[[#This Row],[category &amp; sub-category]],"/")</f>
        <v>music</v>
      </c>
      <c r="U156" t="str">
        <f>_xlfn.TEXTAFTER(Table2[[#This Row],[category &amp; sub-category]],"/")</f>
        <v>indie rock</v>
      </c>
    </row>
    <row r="157" spans="1:21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5">
        <f>100*Table2[[#This Row],[pledged]]/Table2[[#This Row],[goal]]</f>
        <v>65.022222222222226</v>
      </c>
      <c r="G157" t="s">
        <v>14</v>
      </c>
      <c r="H157">
        <v>1194</v>
      </c>
      <c r="I157" s="4">
        <f>IF(Table2[[#This Row],[pledged]]&gt;0,Table2[[#This Row],[pledged]]/Table2[[#This Row],[backers_count]],0)</f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8">
        <f t="shared" si="4"/>
        <v>40262.208333333336</v>
      </c>
      <c r="O157" s="8">
        <f t="shared" si="5"/>
        <v>40277.208333333336</v>
      </c>
      <c r="P157" s="5">
        <f>_xlfn.DAYS(Table2[[#This Row],[Date Ended Conversion]],Table2[[#This Row],[Date Created Conversion]])+1</f>
        <v>16</v>
      </c>
      <c r="Q157" t="b">
        <v>0</v>
      </c>
      <c r="R157" t="b">
        <v>0</v>
      </c>
      <c r="S157" t="s">
        <v>33</v>
      </c>
      <c r="T157" t="str">
        <f>_xlfn.TEXTBEFORE(Table2[[#This Row],[category &amp; sub-category]],"/")</f>
        <v>theater</v>
      </c>
      <c r="U157" t="str">
        <f>_xlfn.TEXTAFTER(Table2[[#This Row],[category &amp; sub-category]],"/")</f>
        <v>plays</v>
      </c>
    </row>
    <row r="158" spans="1:21" ht="17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5">
        <f>100*Table2[[#This Row],[pledged]]/Table2[[#This Row],[goal]]</f>
        <v>73.939560439560438</v>
      </c>
      <c r="G158" t="s">
        <v>74</v>
      </c>
      <c r="H158">
        <v>379</v>
      </c>
      <c r="I158" s="4">
        <f>IF(Table2[[#This Row],[pledged]]&gt;0,Table2[[#This Row],[pledged]]/Table2[[#This Row],[backers_count]],0)</f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8">
        <f t="shared" si="4"/>
        <v>43743.208333333328</v>
      </c>
      <c r="O158" s="8">
        <f t="shared" si="5"/>
        <v>43767.208333333328</v>
      </c>
      <c r="P158" s="5">
        <f>_xlfn.DAYS(Table2[[#This Row],[Date Ended Conversion]],Table2[[#This Row],[Date Created Conversion]])+1</f>
        <v>25</v>
      </c>
      <c r="Q158" t="b">
        <v>0</v>
      </c>
      <c r="R158" t="b">
        <v>0</v>
      </c>
      <c r="S158" t="s">
        <v>23</v>
      </c>
      <c r="T158" t="str">
        <f>_xlfn.TEXTBEFORE(Table2[[#This Row],[category &amp; sub-category]],"/")</f>
        <v>music</v>
      </c>
      <c r="U158" t="str">
        <f>_xlfn.TEXTAFTER(Table2[[#This Row],[category &amp; sub-category]],"/")</f>
        <v>rock</v>
      </c>
    </row>
    <row r="159" spans="1:21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5">
        <f>100*Table2[[#This Row],[pledged]]/Table2[[#This Row],[goal]]</f>
        <v>52.666666666666664</v>
      </c>
      <c r="G159" t="s">
        <v>14</v>
      </c>
      <c r="H159">
        <v>30</v>
      </c>
      <c r="I159" s="4">
        <f>IF(Table2[[#This Row],[pledged]]&gt;0,Table2[[#This Row],[pledged]]/Table2[[#This Row],[backers_count]],0)</f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8">
        <f t="shared" si="4"/>
        <v>41638.25</v>
      </c>
      <c r="O159" s="8">
        <f t="shared" si="5"/>
        <v>41650.25</v>
      </c>
      <c r="P159" s="5">
        <f>_xlfn.DAYS(Table2[[#This Row],[Date Ended Conversion]],Table2[[#This Row],[Date Created Conversion]])+1</f>
        <v>13</v>
      </c>
      <c r="Q159" t="b">
        <v>0</v>
      </c>
      <c r="R159" t="b">
        <v>0</v>
      </c>
      <c r="S159" t="s">
        <v>122</v>
      </c>
      <c r="T159" t="str">
        <f>_xlfn.TEXTBEFORE(Table2[[#This Row],[category &amp; sub-category]],"/")</f>
        <v>photography</v>
      </c>
      <c r="U159" t="str">
        <f>_xlfn.TEXTAFTER(Table2[[#This Row],[category &amp; sub-category]],"/")</f>
        <v>photography books</v>
      </c>
    </row>
    <row r="160" spans="1:21" ht="17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5">
        <f>100*Table2[[#This Row],[pledged]]/Table2[[#This Row],[goal]]</f>
        <v>220.95238095238096</v>
      </c>
      <c r="G160" t="s">
        <v>20</v>
      </c>
      <c r="H160">
        <v>41</v>
      </c>
      <c r="I160" s="4">
        <f>IF(Table2[[#This Row],[pledged]]&gt;0,Table2[[#This Row],[pledged]]/Table2[[#This Row],[backers_count]],0)</f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8">
        <f t="shared" si="4"/>
        <v>42346.25</v>
      </c>
      <c r="O160" s="8">
        <f t="shared" si="5"/>
        <v>42347.25</v>
      </c>
      <c r="P160" s="5">
        <f>_xlfn.DAYS(Table2[[#This Row],[Date Ended Conversion]],Table2[[#This Row],[Date Created Conversion]])+1</f>
        <v>2</v>
      </c>
      <c r="Q160" t="b">
        <v>0</v>
      </c>
      <c r="R160" t="b">
        <v>0</v>
      </c>
      <c r="S160" t="s">
        <v>23</v>
      </c>
      <c r="T160" t="str">
        <f>_xlfn.TEXTBEFORE(Table2[[#This Row],[category &amp; sub-category]],"/")</f>
        <v>music</v>
      </c>
      <c r="U160" t="str">
        <f>_xlfn.TEXTAFTER(Table2[[#This Row],[category &amp; sub-category]],"/")</f>
        <v>rock</v>
      </c>
    </row>
    <row r="161" spans="1:21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5">
        <f>100*Table2[[#This Row],[pledged]]/Table2[[#This Row],[goal]]</f>
        <v>100.01150627615063</v>
      </c>
      <c r="G161" t="s">
        <v>20</v>
      </c>
      <c r="H161">
        <v>1821</v>
      </c>
      <c r="I161" s="4">
        <f>IF(Table2[[#This Row],[pledged]]&gt;0,Table2[[#This Row],[pledged]]/Table2[[#This Row],[backers_count]],0)</f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8">
        <f t="shared" si="4"/>
        <v>43551.208333333328</v>
      </c>
      <c r="O161" s="8">
        <f t="shared" si="5"/>
        <v>43569.208333333328</v>
      </c>
      <c r="P161" s="5">
        <f>_xlfn.DAYS(Table2[[#This Row],[Date Ended Conversion]],Table2[[#This Row],[Date Created Conversion]])+1</f>
        <v>19</v>
      </c>
      <c r="Q161" t="b">
        <v>0</v>
      </c>
      <c r="R161" t="b">
        <v>1</v>
      </c>
      <c r="S161" t="s">
        <v>33</v>
      </c>
      <c r="T161" t="str">
        <f>_xlfn.TEXTBEFORE(Table2[[#This Row],[category &amp; sub-category]],"/")</f>
        <v>theater</v>
      </c>
      <c r="U161" t="str">
        <f>_xlfn.TEXTAFTER(Table2[[#This Row],[category &amp; sub-category]],"/")</f>
        <v>plays</v>
      </c>
    </row>
    <row r="162" spans="1:21" ht="17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5">
        <f>100*Table2[[#This Row],[pledged]]/Table2[[#This Row],[goal]]</f>
        <v>162.3125</v>
      </c>
      <c r="G162" t="s">
        <v>20</v>
      </c>
      <c r="H162">
        <v>164</v>
      </c>
      <c r="I162" s="4">
        <f>IF(Table2[[#This Row],[pledged]]&gt;0,Table2[[#This Row],[pledged]]/Table2[[#This Row],[backers_count]],0)</f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8">
        <f t="shared" si="4"/>
        <v>43582.208333333328</v>
      </c>
      <c r="O162" s="8">
        <f t="shared" si="5"/>
        <v>43598.208333333328</v>
      </c>
      <c r="P162" s="5">
        <f>_xlfn.DAYS(Table2[[#This Row],[Date Ended Conversion]],Table2[[#This Row],[Date Created Conversion]])+1</f>
        <v>17</v>
      </c>
      <c r="Q162" t="b">
        <v>0</v>
      </c>
      <c r="R162" t="b">
        <v>0</v>
      </c>
      <c r="S162" t="s">
        <v>65</v>
      </c>
      <c r="T162" t="str">
        <f>_xlfn.TEXTBEFORE(Table2[[#This Row],[category &amp; sub-category]],"/")</f>
        <v>technology</v>
      </c>
      <c r="U162" t="str">
        <f>_xlfn.TEXTAFTER(Table2[[#This Row],[category &amp; sub-category]],"/")</f>
        <v>wearables</v>
      </c>
    </row>
    <row r="163" spans="1:21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5">
        <f>100*Table2[[#This Row],[pledged]]/Table2[[#This Row],[goal]]</f>
        <v>78.181818181818187</v>
      </c>
      <c r="G163" t="s">
        <v>14</v>
      </c>
      <c r="H163">
        <v>75</v>
      </c>
      <c r="I163" s="4">
        <f>IF(Table2[[#This Row],[pledged]]&gt;0,Table2[[#This Row],[pledged]]/Table2[[#This Row],[backers_count]],0)</f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8">
        <f t="shared" si="4"/>
        <v>42270.208333333328</v>
      </c>
      <c r="O163" s="8">
        <f t="shared" si="5"/>
        <v>42276.208333333328</v>
      </c>
      <c r="P163" s="5">
        <f>_xlfn.DAYS(Table2[[#This Row],[Date Ended Conversion]],Table2[[#This Row],[Date Created Conversion]])+1</f>
        <v>7</v>
      </c>
      <c r="Q163" t="b">
        <v>0</v>
      </c>
      <c r="R163" t="b">
        <v>1</v>
      </c>
      <c r="S163" t="s">
        <v>28</v>
      </c>
      <c r="T163" t="str">
        <f>_xlfn.TEXTBEFORE(Table2[[#This Row],[category &amp; sub-category]],"/")</f>
        <v>technology</v>
      </c>
      <c r="U163" t="str">
        <f>_xlfn.TEXTAFTER(Table2[[#This Row],[category &amp; sub-category]],"/")</f>
        <v>web</v>
      </c>
    </row>
    <row r="164" spans="1:21" ht="34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5">
        <f>100*Table2[[#This Row],[pledged]]/Table2[[#This Row],[goal]]</f>
        <v>149.73770491803279</v>
      </c>
      <c r="G164" t="s">
        <v>20</v>
      </c>
      <c r="H164">
        <v>157</v>
      </c>
      <c r="I164" s="4">
        <f>IF(Table2[[#This Row],[pledged]]&gt;0,Table2[[#This Row],[pledged]]/Table2[[#This Row],[backers_count]],0)</f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8">
        <f t="shared" si="4"/>
        <v>43442.25</v>
      </c>
      <c r="O164" s="8">
        <f t="shared" si="5"/>
        <v>43472.25</v>
      </c>
      <c r="P164" s="5">
        <f>_xlfn.DAYS(Table2[[#This Row],[Date Ended Conversion]],Table2[[#This Row],[Date Created Conversion]])+1</f>
        <v>31</v>
      </c>
      <c r="Q164" t="b">
        <v>0</v>
      </c>
      <c r="R164" t="b">
        <v>0</v>
      </c>
      <c r="S164" t="s">
        <v>23</v>
      </c>
      <c r="T164" t="str">
        <f>_xlfn.TEXTBEFORE(Table2[[#This Row],[category &amp; sub-category]],"/")</f>
        <v>music</v>
      </c>
      <c r="U164" t="str">
        <f>_xlfn.TEXTAFTER(Table2[[#This Row],[category &amp; sub-category]],"/")</f>
        <v>rock</v>
      </c>
    </row>
    <row r="165" spans="1:21" ht="17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5">
        <f>100*Table2[[#This Row],[pledged]]/Table2[[#This Row],[goal]]</f>
        <v>253.25714285714287</v>
      </c>
      <c r="G165" t="s">
        <v>20</v>
      </c>
      <c r="H165">
        <v>246</v>
      </c>
      <c r="I165" s="4">
        <f>IF(Table2[[#This Row],[pledged]]&gt;0,Table2[[#This Row],[pledged]]/Table2[[#This Row],[backers_count]],0)</f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8">
        <f t="shared" si="4"/>
        <v>43028.208333333328</v>
      </c>
      <c r="O165" s="8">
        <f t="shared" si="5"/>
        <v>43077.25</v>
      </c>
      <c r="P165" s="5">
        <f>_xlfn.DAYS(Table2[[#This Row],[Date Ended Conversion]],Table2[[#This Row],[Date Created Conversion]])+1</f>
        <v>50</v>
      </c>
      <c r="Q165" t="b">
        <v>0</v>
      </c>
      <c r="R165" t="b">
        <v>1</v>
      </c>
      <c r="S165" t="s">
        <v>122</v>
      </c>
      <c r="T165" t="str">
        <f>_xlfn.TEXTBEFORE(Table2[[#This Row],[category &amp; sub-category]],"/")</f>
        <v>photography</v>
      </c>
      <c r="U165" t="str">
        <f>_xlfn.TEXTAFTER(Table2[[#This Row],[category &amp; sub-category]],"/")</f>
        <v>photography books</v>
      </c>
    </row>
    <row r="166" spans="1:21" ht="17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5">
        <f>100*Table2[[#This Row],[pledged]]/Table2[[#This Row],[goal]]</f>
        <v>100.16943521594685</v>
      </c>
      <c r="G166" t="s">
        <v>20</v>
      </c>
      <c r="H166">
        <v>1396</v>
      </c>
      <c r="I166" s="4">
        <f>IF(Table2[[#This Row],[pledged]]&gt;0,Table2[[#This Row],[pledged]]/Table2[[#This Row],[backers_count]],0)</f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8">
        <f t="shared" si="4"/>
        <v>43016.208333333328</v>
      </c>
      <c r="O166" s="8">
        <f t="shared" si="5"/>
        <v>43017.208333333328</v>
      </c>
      <c r="P166" s="5">
        <f>_xlfn.DAYS(Table2[[#This Row],[Date Ended Conversion]],Table2[[#This Row],[Date Created Conversion]])+1</f>
        <v>2</v>
      </c>
      <c r="Q166" t="b">
        <v>0</v>
      </c>
      <c r="R166" t="b">
        <v>0</v>
      </c>
      <c r="S166" t="s">
        <v>33</v>
      </c>
      <c r="T166" t="str">
        <f>_xlfn.TEXTBEFORE(Table2[[#This Row],[category &amp; sub-category]],"/")</f>
        <v>theater</v>
      </c>
      <c r="U166" t="str">
        <f>_xlfn.TEXTAFTER(Table2[[#This Row],[category &amp; sub-category]],"/")</f>
        <v>plays</v>
      </c>
    </row>
    <row r="167" spans="1:21" ht="17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5">
        <f>100*Table2[[#This Row],[pledged]]/Table2[[#This Row],[goal]]</f>
        <v>121.99004424778761</v>
      </c>
      <c r="G167" t="s">
        <v>20</v>
      </c>
      <c r="H167">
        <v>2506</v>
      </c>
      <c r="I167" s="4">
        <f>IF(Table2[[#This Row],[pledged]]&gt;0,Table2[[#This Row],[pledged]]/Table2[[#This Row],[backers_count]],0)</f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8">
        <f t="shared" si="4"/>
        <v>42948.208333333328</v>
      </c>
      <c r="O167" s="8">
        <f t="shared" si="5"/>
        <v>42980.208333333328</v>
      </c>
      <c r="P167" s="5">
        <f>_xlfn.DAYS(Table2[[#This Row],[Date Ended Conversion]],Table2[[#This Row],[Date Created Conversion]])+1</f>
        <v>33</v>
      </c>
      <c r="Q167" t="b">
        <v>0</v>
      </c>
      <c r="R167" t="b">
        <v>0</v>
      </c>
      <c r="S167" t="s">
        <v>28</v>
      </c>
      <c r="T167" t="str">
        <f>_xlfn.TEXTBEFORE(Table2[[#This Row],[category &amp; sub-category]],"/")</f>
        <v>technology</v>
      </c>
      <c r="U167" t="str">
        <f>_xlfn.TEXTAFTER(Table2[[#This Row],[category &amp; sub-category]],"/")</f>
        <v>web</v>
      </c>
    </row>
    <row r="168" spans="1:21" ht="17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5">
        <f>100*Table2[[#This Row],[pledged]]/Table2[[#This Row],[goal]]</f>
        <v>137.13265306122449</v>
      </c>
      <c r="G168" t="s">
        <v>20</v>
      </c>
      <c r="H168">
        <v>244</v>
      </c>
      <c r="I168" s="4">
        <f>IF(Table2[[#This Row],[pledged]]&gt;0,Table2[[#This Row],[pledged]]/Table2[[#This Row],[backers_count]],0)</f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8">
        <f t="shared" si="4"/>
        <v>40534.25</v>
      </c>
      <c r="O168" s="8">
        <f t="shared" si="5"/>
        <v>40538.25</v>
      </c>
      <c r="P168" s="5">
        <f>_xlfn.DAYS(Table2[[#This Row],[Date Ended Conversion]],Table2[[#This Row],[Date Created Conversion]])+1</f>
        <v>5</v>
      </c>
      <c r="Q168" t="b">
        <v>0</v>
      </c>
      <c r="R168" t="b">
        <v>0</v>
      </c>
      <c r="S168" t="s">
        <v>122</v>
      </c>
      <c r="T168" t="str">
        <f>_xlfn.TEXTBEFORE(Table2[[#This Row],[category &amp; sub-category]],"/")</f>
        <v>photography</v>
      </c>
      <c r="U168" t="str">
        <f>_xlfn.TEXTAFTER(Table2[[#This Row],[category &amp; sub-category]],"/")</f>
        <v>photography books</v>
      </c>
    </row>
    <row r="169" spans="1:21" ht="17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5">
        <f>100*Table2[[#This Row],[pledged]]/Table2[[#This Row],[goal]]</f>
        <v>415.53846153846155</v>
      </c>
      <c r="G169" t="s">
        <v>20</v>
      </c>
      <c r="H169">
        <v>146</v>
      </c>
      <c r="I169" s="4">
        <f>IF(Table2[[#This Row],[pledged]]&gt;0,Table2[[#This Row],[pledged]]/Table2[[#This Row],[backers_count]],0)</f>
        <v>74</v>
      </c>
      <c r="J169" t="s">
        <v>26</v>
      </c>
      <c r="K169" t="s">
        <v>27</v>
      </c>
      <c r="L169">
        <v>1370840400</v>
      </c>
      <c r="M169">
        <v>1371704400</v>
      </c>
      <c r="N169" s="8">
        <f t="shared" si="4"/>
        <v>41435.208333333336</v>
      </c>
      <c r="O169" s="8">
        <f t="shared" si="5"/>
        <v>41445.208333333336</v>
      </c>
      <c r="P169" s="5">
        <f>_xlfn.DAYS(Table2[[#This Row],[Date Ended Conversion]],Table2[[#This Row],[Date Created Conversion]])+1</f>
        <v>11</v>
      </c>
      <c r="Q169" t="b">
        <v>0</v>
      </c>
      <c r="R169" t="b">
        <v>0</v>
      </c>
      <c r="S169" t="s">
        <v>33</v>
      </c>
      <c r="T169" t="str">
        <f>_xlfn.TEXTBEFORE(Table2[[#This Row],[category &amp; sub-category]],"/")</f>
        <v>theater</v>
      </c>
      <c r="U169" t="str">
        <f>_xlfn.TEXTAFTER(Table2[[#This Row],[category &amp; sub-category]],"/")</f>
        <v>plays</v>
      </c>
    </row>
    <row r="170" spans="1:21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5">
        <f>100*Table2[[#This Row],[pledged]]/Table2[[#This Row],[goal]]</f>
        <v>31.30913348946136</v>
      </c>
      <c r="G170" t="s">
        <v>14</v>
      </c>
      <c r="H170">
        <v>955</v>
      </c>
      <c r="I170" s="4">
        <f>IF(Table2[[#This Row],[pledged]]&gt;0,Table2[[#This Row],[pledged]]/Table2[[#This Row],[backers_count]],0)</f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8">
        <f t="shared" si="4"/>
        <v>43518.25</v>
      </c>
      <c r="O170" s="8">
        <f t="shared" si="5"/>
        <v>43541.208333333328</v>
      </c>
      <c r="P170" s="5">
        <f>_xlfn.DAYS(Table2[[#This Row],[Date Ended Conversion]],Table2[[#This Row],[Date Created Conversion]])+1</f>
        <v>24</v>
      </c>
      <c r="Q170" t="b">
        <v>0</v>
      </c>
      <c r="R170" t="b">
        <v>1</v>
      </c>
      <c r="S170" t="s">
        <v>60</v>
      </c>
      <c r="T170" t="str">
        <f>_xlfn.TEXTBEFORE(Table2[[#This Row],[category &amp; sub-category]],"/")</f>
        <v>music</v>
      </c>
      <c r="U170" t="str">
        <f>_xlfn.TEXTAFTER(Table2[[#This Row],[category &amp; sub-category]],"/")</f>
        <v>indie rock</v>
      </c>
    </row>
    <row r="171" spans="1:21" ht="17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5">
        <f>100*Table2[[#This Row],[pledged]]/Table2[[#This Row],[goal]]</f>
        <v>424.08154506437768</v>
      </c>
      <c r="G171" t="s">
        <v>20</v>
      </c>
      <c r="H171">
        <v>1267</v>
      </c>
      <c r="I171" s="4">
        <f>IF(Table2[[#This Row],[pledged]]&gt;0,Table2[[#This Row],[pledged]]/Table2[[#This Row],[backers_count]],0)</f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8">
        <f t="shared" si="4"/>
        <v>41077.208333333336</v>
      </c>
      <c r="O171" s="8">
        <f t="shared" si="5"/>
        <v>41105.208333333336</v>
      </c>
      <c r="P171" s="5">
        <f>_xlfn.DAYS(Table2[[#This Row],[Date Ended Conversion]],Table2[[#This Row],[Date Created Conversion]])+1</f>
        <v>29</v>
      </c>
      <c r="Q171" t="b">
        <v>0</v>
      </c>
      <c r="R171" t="b">
        <v>1</v>
      </c>
      <c r="S171" t="s">
        <v>100</v>
      </c>
      <c r="T171" t="str">
        <f>_xlfn.TEXTBEFORE(Table2[[#This Row],[category &amp; sub-category]],"/")</f>
        <v>film &amp; video</v>
      </c>
      <c r="U171" t="str">
        <f>_xlfn.TEXTAFTER(Table2[[#This Row],[category &amp; sub-category]],"/")</f>
        <v>shorts</v>
      </c>
    </row>
    <row r="172" spans="1:21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5">
        <f>100*Table2[[#This Row],[pledged]]/Table2[[#This Row],[goal]]</f>
        <v>2.93886230728336</v>
      </c>
      <c r="G172" t="s">
        <v>14</v>
      </c>
      <c r="H172">
        <v>67</v>
      </c>
      <c r="I172" s="4">
        <f>IF(Table2[[#This Row],[pledged]]&gt;0,Table2[[#This Row],[pledged]]/Table2[[#This Row],[backers_count]],0)</f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8">
        <f t="shared" si="4"/>
        <v>42950.208333333328</v>
      </c>
      <c r="O172" s="8">
        <f t="shared" si="5"/>
        <v>42957.208333333328</v>
      </c>
      <c r="P172" s="5">
        <f>_xlfn.DAYS(Table2[[#This Row],[Date Ended Conversion]],Table2[[#This Row],[Date Created Conversion]])+1</f>
        <v>8</v>
      </c>
      <c r="Q172" t="b">
        <v>0</v>
      </c>
      <c r="R172" t="b">
        <v>0</v>
      </c>
      <c r="S172" t="s">
        <v>60</v>
      </c>
      <c r="T172" t="str">
        <f>_xlfn.TEXTBEFORE(Table2[[#This Row],[category &amp; sub-category]],"/")</f>
        <v>music</v>
      </c>
      <c r="U172" t="str">
        <f>_xlfn.TEXTAFTER(Table2[[#This Row],[category &amp; sub-category]],"/")</f>
        <v>indie rock</v>
      </c>
    </row>
    <row r="173" spans="1:21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5">
        <f>100*Table2[[#This Row],[pledged]]/Table2[[#This Row],[goal]]</f>
        <v>10.63265306122449</v>
      </c>
      <c r="G173" t="s">
        <v>14</v>
      </c>
      <c r="H173">
        <v>5</v>
      </c>
      <c r="I173" s="4">
        <f>IF(Table2[[#This Row],[pledged]]&gt;0,Table2[[#This Row],[pledged]]/Table2[[#This Row],[backers_count]],0)</f>
        <v>104.2</v>
      </c>
      <c r="J173" t="s">
        <v>21</v>
      </c>
      <c r="K173" t="s">
        <v>22</v>
      </c>
      <c r="L173">
        <v>1395291600</v>
      </c>
      <c r="M173">
        <v>1397192400</v>
      </c>
      <c r="N173" s="8">
        <f t="shared" si="4"/>
        <v>41718.208333333336</v>
      </c>
      <c r="O173" s="8">
        <f t="shared" si="5"/>
        <v>41740.208333333336</v>
      </c>
      <c r="P173" s="5">
        <f>_xlfn.DAYS(Table2[[#This Row],[Date Ended Conversion]],Table2[[#This Row],[Date Created Conversion]])+1</f>
        <v>23</v>
      </c>
      <c r="Q173" t="b">
        <v>0</v>
      </c>
      <c r="R173" t="b">
        <v>0</v>
      </c>
      <c r="S173" t="s">
        <v>206</v>
      </c>
      <c r="T173" t="str">
        <f>_xlfn.TEXTBEFORE(Table2[[#This Row],[category &amp; sub-category]],"/")</f>
        <v>publishing</v>
      </c>
      <c r="U173" t="str">
        <f>_xlfn.TEXTAFTER(Table2[[#This Row],[category &amp; sub-category]],"/")</f>
        <v>translations</v>
      </c>
    </row>
    <row r="174" spans="1:21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5">
        <f>100*Table2[[#This Row],[pledged]]/Table2[[#This Row],[goal]]</f>
        <v>82.875</v>
      </c>
      <c r="G174" t="s">
        <v>14</v>
      </c>
      <c r="H174">
        <v>26</v>
      </c>
      <c r="I174" s="4">
        <f>IF(Table2[[#This Row],[pledged]]&gt;0,Table2[[#This Row],[pledged]]/Table2[[#This Row],[backers_count]],0)</f>
        <v>25.5</v>
      </c>
      <c r="J174" t="s">
        <v>21</v>
      </c>
      <c r="K174" t="s">
        <v>22</v>
      </c>
      <c r="L174">
        <v>1405746000</v>
      </c>
      <c r="M174">
        <v>1407042000</v>
      </c>
      <c r="N174" s="8">
        <f t="shared" si="4"/>
        <v>41839.208333333336</v>
      </c>
      <c r="O174" s="8">
        <f t="shared" si="5"/>
        <v>41854.208333333336</v>
      </c>
      <c r="P174" s="5">
        <f>_xlfn.DAYS(Table2[[#This Row],[Date Ended Conversion]],Table2[[#This Row],[Date Created Conversion]])+1</f>
        <v>16</v>
      </c>
      <c r="Q174" t="b">
        <v>0</v>
      </c>
      <c r="R174" t="b">
        <v>1</v>
      </c>
      <c r="S174" t="s">
        <v>42</v>
      </c>
      <c r="T174" t="str">
        <f>_xlfn.TEXTBEFORE(Table2[[#This Row],[category &amp; sub-category]],"/")</f>
        <v>film &amp; video</v>
      </c>
      <c r="U174" t="str">
        <f>_xlfn.TEXTAFTER(Table2[[#This Row],[category &amp; sub-category]],"/")</f>
        <v>documentary</v>
      </c>
    </row>
    <row r="175" spans="1:21" ht="34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5">
        <f>100*Table2[[#This Row],[pledged]]/Table2[[#This Row],[goal]]</f>
        <v>163.01447776628748</v>
      </c>
      <c r="G175" t="s">
        <v>20</v>
      </c>
      <c r="H175">
        <v>1561</v>
      </c>
      <c r="I175" s="4">
        <f>IF(Table2[[#This Row],[pledged]]&gt;0,Table2[[#This Row],[pledged]]/Table2[[#This Row],[backers_count]],0)</f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8">
        <f t="shared" si="4"/>
        <v>41412.208333333336</v>
      </c>
      <c r="O175" s="8">
        <f t="shared" si="5"/>
        <v>41418.208333333336</v>
      </c>
      <c r="P175" s="5">
        <f>_xlfn.DAYS(Table2[[#This Row],[Date Ended Conversion]],Table2[[#This Row],[Date Created Conversion]])+1</f>
        <v>7</v>
      </c>
      <c r="Q175" t="b">
        <v>0</v>
      </c>
      <c r="R175" t="b">
        <v>0</v>
      </c>
      <c r="S175" t="s">
        <v>33</v>
      </c>
      <c r="T175" t="str">
        <f>_xlfn.TEXTBEFORE(Table2[[#This Row],[category &amp; sub-category]],"/")</f>
        <v>theater</v>
      </c>
      <c r="U175" t="str">
        <f>_xlfn.TEXTAFTER(Table2[[#This Row],[category &amp; sub-category]],"/")</f>
        <v>plays</v>
      </c>
    </row>
    <row r="176" spans="1:21" ht="17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5">
        <f>100*Table2[[#This Row],[pledged]]/Table2[[#This Row],[goal]]</f>
        <v>894.66666666666663</v>
      </c>
      <c r="G176" t="s">
        <v>20</v>
      </c>
      <c r="H176">
        <v>48</v>
      </c>
      <c r="I176" s="4">
        <f>IF(Table2[[#This Row],[pledged]]&gt;0,Table2[[#This Row],[pledged]]/Table2[[#This Row],[backers_count]],0)</f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8">
        <f t="shared" si="4"/>
        <v>42282.208333333328</v>
      </c>
      <c r="O176" s="8">
        <f t="shared" si="5"/>
        <v>42283.208333333328</v>
      </c>
      <c r="P176" s="5">
        <f>_xlfn.DAYS(Table2[[#This Row],[Date Ended Conversion]],Table2[[#This Row],[Date Created Conversion]])+1</f>
        <v>2</v>
      </c>
      <c r="Q176" t="b">
        <v>0</v>
      </c>
      <c r="R176" t="b">
        <v>1</v>
      </c>
      <c r="S176" t="s">
        <v>65</v>
      </c>
      <c r="T176" t="str">
        <f>_xlfn.TEXTBEFORE(Table2[[#This Row],[category &amp; sub-category]],"/")</f>
        <v>technology</v>
      </c>
      <c r="U176" t="str">
        <f>_xlfn.TEXTAFTER(Table2[[#This Row],[category &amp; sub-category]],"/")</f>
        <v>wearables</v>
      </c>
    </row>
    <row r="177" spans="1:21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5">
        <f>100*Table2[[#This Row],[pledged]]/Table2[[#This Row],[goal]]</f>
        <v>26.19150110375276</v>
      </c>
      <c r="G177" t="s">
        <v>14</v>
      </c>
      <c r="H177">
        <v>1130</v>
      </c>
      <c r="I177" s="4">
        <f>IF(Table2[[#This Row],[pledged]]&gt;0,Table2[[#This Row],[pledged]]/Table2[[#This Row],[backers_count]],0)</f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8">
        <f t="shared" si="4"/>
        <v>42613.208333333328</v>
      </c>
      <c r="O177" s="8">
        <f t="shared" si="5"/>
        <v>42632.208333333328</v>
      </c>
      <c r="P177" s="5">
        <f>_xlfn.DAYS(Table2[[#This Row],[Date Ended Conversion]],Table2[[#This Row],[Date Created Conversion]])+1</f>
        <v>20</v>
      </c>
      <c r="Q177" t="b">
        <v>0</v>
      </c>
      <c r="R177" t="b">
        <v>0</v>
      </c>
      <c r="S177" t="s">
        <v>33</v>
      </c>
      <c r="T177" t="str">
        <f>_xlfn.TEXTBEFORE(Table2[[#This Row],[category &amp; sub-category]],"/")</f>
        <v>theater</v>
      </c>
      <c r="U177" t="str">
        <f>_xlfn.TEXTAFTER(Table2[[#This Row],[category &amp; sub-category]],"/")</f>
        <v>plays</v>
      </c>
    </row>
    <row r="178" spans="1:21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5">
        <f>100*Table2[[#This Row],[pledged]]/Table2[[#This Row],[goal]]</f>
        <v>74.834782608695647</v>
      </c>
      <c r="G178" t="s">
        <v>14</v>
      </c>
      <c r="H178">
        <v>782</v>
      </c>
      <c r="I178" s="4">
        <f>IF(Table2[[#This Row],[pledged]]&gt;0,Table2[[#This Row],[pledged]]/Table2[[#This Row],[backers_count]],0)</f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8">
        <f t="shared" si="4"/>
        <v>42616.208333333328</v>
      </c>
      <c r="O178" s="8">
        <f t="shared" si="5"/>
        <v>42625.208333333328</v>
      </c>
      <c r="P178" s="5">
        <f>_xlfn.DAYS(Table2[[#This Row],[Date Ended Conversion]],Table2[[#This Row],[Date Created Conversion]])+1</f>
        <v>10</v>
      </c>
      <c r="Q178" t="b">
        <v>0</v>
      </c>
      <c r="R178" t="b">
        <v>0</v>
      </c>
      <c r="S178" t="s">
        <v>33</v>
      </c>
      <c r="T178" t="str">
        <f>_xlfn.TEXTBEFORE(Table2[[#This Row],[category &amp; sub-category]],"/")</f>
        <v>theater</v>
      </c>
      <c r="U178" t="str">
        <f>_xlfn.TEXTAFTER(Table2[[#This Row],[category &amp; sub-category]],"/")</f>
        <v>plays</v>
      </c>
    </row>
    <row r="179" spans="1:21" ht="17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5">
        <f>100*Table2[[#This Row],[pledged]]/Table2[[#This Row],[goal]]</f>
        <v>416.47680412371136</v>
      </c>
      <c r="G179" t="s">
        <v>20</v>
      </c>
      <c r="H179">
        <v>2739</v>
      </c>
      <c r="I179" s="4">
        <f>IF(Table2[[#This Row],[pledged]]&gt;0,Table2[[#This Row],[pledged]]/Table2[[#This Row],[backers_count]],0)</f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8">
        <f t="shared" si="4"/>
        <v>40497.25</v>
      </c>
      <c r="O179" s="8">
        <f t="shared" si="5"/>
        <v>40522.25</v>
      </c>
      <c r="P179" s="5">
        <f>_xlfn.DAYS(Table2[[#This Row],[Date Ended Conversion]],Table2[[#This Row],[Date Created Conversion]])+1</f>
        <v>26</v>
      </c>
      <c r="Q179" t="b">
        <v>0</v>
      </c>
      <c r="R179" t="b">
        <v>0</v>
      </c>
      <c r="S179" t="s">
        <v>33</v>
      </c>
      <c r="T179" t="str">
        <f>_xlfn.TEXTBEFORE(Table2[[#This Row],[category &amp; sub-category]],"/")</f>
        <v>theater</v>
      </c>
      <c r="U179" t="str">
        <f>_xlfn.TEXTAFTER(Table2[[#This Row],[category &amp; sub-category]],"/")</f>
        <v>plays</v>
      </c>
    </row>
    <row r="180" spans="1:21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5">
        <f>100*Table2[[#This Row],[pledged]]/Table2[[#This Row],[goal]]</f>
        <v>96.208333333333329</v>
      </c>
      <c r="G180" t="s">
        <v>14</v>
      </c>
      <c r="H180">
        <v>210</v>
      </c>
      <c r="I180" s="4">
        <f>IF(Table2[[#This Row],[pledged]]&gt;0,Table2[[#This Row],[pledged]]/Table2[[#This Row],[backers_count]],0)</f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8">
        <f t="shared" si="4"/>
        <v>42999.208333333328</v>
      </c>
      <c r="O180" s="8">
        <f t="shared" si="5"/>
        <v>43008.208333333328</v>
      </c>
      <c r="P180" s="5">
        <f>_xlfn.DAYS(Table2[[#This Row],[Date Ended Conversion]],Table2[[#This Row],[Date Created Conversion]])+1</f>
        <v>10</v>
      </c>
      <c r="Q180" t="b">
        <v>0</v>
      </c>
      <c r="R180" t="b">
        <v>0</v>
      </c>
      <c r="S180" t="s">
        <v>17</v>
      </c>
      <c r="T180" t="str">
        <f>_xlfn.TEXTBEFORE(Table2[[#This Row],[category &amp; sub-category]],"/")</f>
        <v>food</v>
      </c>
      <c r="U180" t="str">
        <f>_xlfn.TEXTAFTER(Table2[[#This Row],[category &amp; sub-category]],"/")</f>
        <v>food trucks</v>
      </c>
    </row>
    <row r="181" spans="1:21" ht="34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5">
        <f>100*Table2[[#This Row],[pledged]]/Table2[[#This Row],[goal]]</f>
        <v>357.71910112359552</v>
      </c>
      <c r="G181" t="s">
        <v>20</v>
      </c>
      <c r="H181">
        <v>3537</v>
      </c>
      <c r="I181" s="4">
        <f>IF(Table2[[#This Row],[pledged]]&gt;0,Table2[[#This Row],[pledged]]/Table2[[#This Row],[backers_count]],0)</f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8">
        <f t="shared" si="4"/>
        <v>41350.208333333336</v>
      </c>
      <c r="O181" s="8">
        <f t="shared" si="5"/>
        <v>41351.208333333336</v>
      </c>
      <c r="P181" s="5">
        <f>_xlfn.DAYS(Table2[[#This Row],[Date Ended Conversion]],Table2[[#This Row],[Date Created Conversion]])+1</f>
        <v>2</v>
      </c>
      <c r="Q181" t="b">
        <v>0</v>
      </c>
      <c r="R181" t="b">
        <v>1</v>
      </c>
      <c r="S181" t="s">
        <v>33</v>
      </c>
      <c r="T181" t="str">
        <f>_xlfn.TEXTBEFORE(Table2[[#This Row],[category &amp; sub-category]],"/")</f>
        <v>theater</v>
      </c>
      <c r="U181" t="str">
        <f>_xlfn.TEXTAFTER(Table2[[#This Row],[category &amp; sub-category]],"/")</f>
        <v>plays</v>
      </c>
    </row>
    <row r="182" spans="1:21" ht="17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5">
        <f>100*Table2[[#This Row],[pledged]]/Table2[[#This Row],[goal]]</f>
        <v>308.45714285714286</v>
      </c>
      <c r="G182" t="s">
        <v>20</v>
      </c>
      <c r="H182">
        <v>2107</v>
      </c>
      <c r="I182" s="4">
        <f>IF(Table2[[#This Row],[pledged]]&gt;0,Table2[[#This Row],[pledged]]/Table2[[#This Row],[backers_count]],0)</f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8">
        <f t="shared" si="4"/>
        <v>40259.208333333336</v>
      </c>
      <c r="O182" s="8">
        <f t="shared" si="5"/>
        <v>40264.208333333336</v>
      </c>
      <c r="P182" s="5">
        <f>_xlfn.DAYS(Table2[[#This Row],[Date Ended Conversion]],Table2[[#This Row],[Date Created Conversion]])+1</f>
        <v>6</v>
      </c>
      <c r="Q182" t="b">
        <v>0</v>
      </c>
      <c r="R182" t="b">
        <v>0</v>
      </c>
      <c r="S182" t="s">
        <v>65</v>
      </c>
      <c r="T182" t="str">
        <f>_xlfn.TEXTBEFORE(Table2[[#This Row],[category &amp; sub-category]],"/")</f>
        <v>technology</v>
      </c>
      <c r="U182" t="str">
        <f>_xlfn.TEXTAFTER(Table2[[#This Row],[category &amp; sub-category]],"/")</f>
        <v>wearables</v>
      </c>
    </row>
    <row r="183" spans="1:21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5">
        <f>100*Table2[[#This Row],[pledged]]/Table2[[#This Row],[goal]]</f>
        <v>61.802325581395351</v>
      </c>
      <c r="G183" t="s">
        <v>14</v>
      </c>
      <c r="H183">
        <v>136</v>
      </c>
      <c r="I183" s="4">
        <f>IF(Table2[[#This Row],[pledged]]&gt;0,Table2[[#This Row],[pledged]]/Table2[[#This Row],[backers_count]],0)</f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8">
        <f t="shared" si="4"/>
        <v>43012.208333333328</v>
      </c>
      <c r="O183" s="8">
        <f t="shared" si="5"/>
        <v>43030.208333333328</v>
      </c>
      <c r="P183" s="5">
        <f>_xlfn.DAYS(Table2[[#This Row],[Date Ended Conversion]],Table2[[#This Row],[Date Created Conversion]])+1</f>
        <v>19</v>
      </c>
      <c r="Q183" t="b">
        <v>0</v>
      </c>
      <c r="R183" t="b">
        <v>0</v>
      </c>
      <c r="S183" t="s">
        <v>28</v>
      </c>
      <c r="T183" t="str">
        <f>_xlfn.TEXTBEFORE(Table2[[#This Row],[category &amp; sub-category]],"/")</f>
        <v>technology</v>
      </c>
      <c r="U183" t="str">
        <f>_xlfn.TEXTAFTER(Table2[[#This Row],[category &amp; sub-category]],"/")</f>
        <v>web</v>
      </c>
    </row>
    <row r="184" spans="1:21" ht="34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5">
        <f>100*Table2[[#This Row],[pledged]]/Table2[[#This Row],[goal]]</f>
        <v>722.32472324723244</v>
      </c>
      <c r="G184" t="s">
        <v>20</v>
      </c>
      <c r="H184">
        <v>3318</v>
      </c>
      <c r="I184" s="4">
        <f>IF(Table2[[#This Row],[pledged]]&gt;0,Table2[[#This Row],[pledged]]/Table2[[#This Row],[backers_count]],0)</f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8">
        <f t="shared" si="4"/>
        <v>43631.208333333328</v>
      </c>
      <c r="O184" s="8">
        <f t="shared" si="5"/>
        <v>43647.208333333328</v>
      </c>
      <c r="P184" s="5">
        <f>_xlfn.DAYS(Table2[[#This Row],[Date Ended Conversion]],Table2[[#This Row],[Date Created Conversion]])+1</f>
        <v>17</v>
      </c>
      <c r="Q184" t="b">
        <v>0</v>
      </c>
      <c r="R184" t="b">
        <v>0</v>
      </c>
      <c r="S184" t="s">
        <v>33</v>
      </c>
      <c r="T184" t="str">
        <f>_xlfn.TEXTBEFORE(Table2[[#This Row],[category &amp; sub-category]],"/")</f>
        <v>theater</v>
      </c>
      <c r="U184" t="str">
        <f>_xlfn.TEXTAFTER(Table2[[#This Row],[category &amp; sub-category]],"/")</f>
        <v>plays</v>
      </c>
    </row>
    <row r="185" spans="1:21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5">
        <f>100*Table2[[#This Row],[pledged]]/Table2[[#This Row],[goal]]</f>
        <v>69.117647058823536</v>
      </c>
      <c r="G185" t="s">
        <v>14</v>
      </c>
      <c r="H185">
        <v>86</v>
      </c>
      <c r="I185" s="4">
        <f>IF(Table2[[#This Row],[pledged]]&gt;0,Table2[[#This Row],[pledged]]/Table2[[#This Row],[backers_count]],0)</f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8">
        <f t="shared" si="4"/>
        <v>40430.208333333336</v>
      </c>
      <c r="O185" s="8">
        <f t="shared" si="5"/>
        <v>40443.208333333336</v>
      </c>
      <c r="P185" s="5">
        <f>_xlfn.DAYS(Table2[[#This Row],[Date Ended Conversion]],Table2[[#This Row],[Date Created Conversion]])+1</f>
        <v>14</v>
      </c>
      <c r="Q185" t="b">
        <v>0</v>
      </c>
      <c r="R185" t="b">
        <v>0</v>
      </c>
      <c r="S185" t="s">
        <v>23</v>
      </c>
      <c r="T185" t="str">
        <f>_xlfn.TEXTBEFORE(Table2[[#This Row],[category &amp; sub-category]],"/")</f>
        <v>music</v>
      </c>
      <c r="U185" t="str">
        <f>_xlfn.TEXTAFTER(Table2[[#This Row],[category &amp; sub-category]],"/")</f>
        <v>rock</v>
      </c>
    </row>
    <row r="186" spans="1:21" ht="17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5">
        <f>100*Table2[[#This Row],[pledged]]/Table2[[#This Row],[goal]]</f>
        <v>293.05555555555554</v>
      </c>
      <c r="G186" t="s">
        <v>20</v>
      </c>
      <c r="H186">
        <v>340</v>
      </c>
      <c r="I186" s="4">
        <f>IF(Table2[[#This Row],[pledged]]&gt;0,Table2[[#This Row],[pledged]]/Table2[[#This Row],[backers_count]],0)</f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8">
        <f t="shared" si="4"/>
        <v>43588.208333333328</v>
      </c>
      <c r="O186" s="8">
        <f t="shared" si="5"/>
        <v>43589.208333333328</v>
      </c>
      <c r="P186" s="5">
        <f>_xlfn.DAYS(Table2[[#This Row],[Date Ended Conversion]],Table2[[#This Row],[Date Created Conversion]])+1</f>
        <v>2</v>
      </c>
      <c r="Q186" t="b">
        <v>0</v>
      </c>
      <c r="R186" t="b">
        <v>0</v>
      </c>
      <c r="S186" t="s">
        <v>33</v>
      </c>
      <c r="T186" t="str">
        <f>_xlfn.TEXTBEFORE(Table2[[#This Row],[category &amp; sub-category]],"/")</f>
        <v>theater</v>
      </c>
      <c r="U186" t="str">
        <f>_xlfn.TEXTAFTER(Table2[[#This Row],[category &amp; sub-category]],"/")</f>
        <v>plays</v>
      </c>
    </row>
    <row r="187" spans="1:21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5">
        <f>100*Table2[[#This Row],[pledged]]/Table2[[#This Row],[goal]]</f>
        <v>71.8</v>
      </c>
      <c r="G187" t="s">
        <v>14</v>
      </c>
      <c r="H187">
        <v>19</v>
      </c>
      <c r="I187" s="4">
        <f>IF(Table2[[#This Row],[pledged]]&gt;0,Table2[[#This Row],[pledged]]/Table2[[#This Row],[backers_count]],0)</f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8">
        <f t="shared" si="4"/>
        <v>43233.208333333328</v>
      </c>
      <c r="O187" s="8">
        <f t="shared" si="5"/>
        <v>43244.208333333328</v>
      </c>
      <c r="P187" s="5">
        <f>_xlfn.DAYS(Table2[[#This Row],[Date Ended Conversion]],Table2[[#This Row],[Date Created Conversion]])+1</f>
        <v>12</v>
      </c>
      <c r="Q187" t="b">
        <v>0</v>
      </c>
      <c r="R187" t="b">
        <v>0</v>
      </c>
      <c r="S187" t="s">
        <v>269</v>
      </c>
      <c r="T187" t="str">
        <f>_xlfn.TEXTBEFORE(Table2[[#This Row],[category &amp; sub-category]],"/")</f>
        <v>film &amp; video</v>
      </c>
      <c r="U187" t="str">
        <f>_xlfn.TEXTAFTER(Table2[[#This Row],[category &amp; sub-category]],"/")</f>
        <v>television</v>
      </c>
    </row>
    <row r="188" spans="1:21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5">
        <f>100*Table2[[#This Row],[pledged]]/Table2[[#This Row],[goal]]</f>
        <v>31.934684684684683</v>
      </c>
      <c r="G188" t="s">
        <v>14</v>
      </c>
      <c r="H188">
        <v>886</v>
      </c>
      <c r="I188" s="4">
        <f>IF(Table2[[#This Row],[pledged]]&gt;0,Table2[[#This Row],[pledged]]/Table2[[#This Row],[backers_count]],0)</f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8">
        <f t="shared" si="4"/>
        <v>41782.208333333336</v>
      </c>
      <c r="O188" s="8">
        <f t="shared" si="5"/>
        <v>41797.208333333336</v>
      </c>
      <c r="P188" s="5">
        <f>_xlfn.DAYS(Table2[[#This Row],[Date Ended Conversion]],Table2[[#This Row],[Date Created Conversion]])+1</f>
        <v>16</v>
      </c>
      <c r="Q188" t="b">
        <v>0</v>
      </c>
      <c r="R188" t="b">
        <v>0</v>
      </c>
      <c r="S188" t="s">
        <v>33</v>
      </c>
      <c r="T188" t="str">
        <f>_xlfn.TEXTBEFORE(Table2[[#This Row],[category &amp; sub-category]],"/")</f>
        <v>theater</v>
      </c>
      <c r="U188" t="str">
        <f>_xlfn.TEXTAFTER(Table2[[#This Row],[category &amp; sub-category]],"/")</f>
        <v>plays</v>
      </c>
    </row>
    <row r="189" spans="1:21" ht="17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5">
        <f>100*Table2[[#This Row],[pledged]]/Table2[[#This Row],[goal]]</f>
        <v>229.87375415282392</v>
      </c>
      <c r="G189" t="s">
        <v>20</v>
      </c>
      <c r="H189">
        <v>1442</v>
      </c>
      <c r="I189" s="4">
        <f>IF(Table2[[#This Row],[pledged]]&gt;0,Table2[[#This Row],[pledged]]/Table2[[#This Row],[backers_count]],0)</f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8">
        <f t="shared" si="4"/>
        <v>41328.25</v>
      </c>
      <c r="O189" s="8">
        <f t="shared" si="5"/>
        <v>41356.208333333336</v>
      </c>
      <c r="P189" s="5">
        <f>_xlfn.DAYS(Table2[[#This Row],[Date Ended Conversion]],Table2[[#This Row],[Date Created Conversion]])+1</f>
        <v>29</v>
      </c>
      <c r="Q189" t="b">
        <v>0</v>
      </c>
      <c r="R189" t="b">
        <v>1</v>
      </c>
      <c r="S189" t="s">
        <v>100</v>
      </c>
      <c r="T189" t="str">
        <f>_xlfn.TEXTBEFORE(Table2[[#This Row],[category &amp; sub-category]],"/")</f>
        <v>film &amp; video</v>
      </c>
      <c r="U189" t="str">
        <f>_xlfn.TEXTAFTER(Table2[[#This Row],[category &amp; sub-category]],"/")</f>
        <v>shorts</v>
      </c>
    </row>
    <row r="190" spans="1:21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5">
        <f>100*Table2[[#This Row],[pledged]]/Table2[[#This Row],[goal]]</f>
        <v>32.012195121951223</v>
      </c>
      <c r="G190" t="s">
        <v>14</v>
      </c>
      <c r="H190">
        <v>35</v>
      </c>
      <c r="I190" s="4">
        <f>IF(Table2[[#This Row],[pledged]]&gt;0,Table2[[#This Row],[pledged]]/Table2[[#This Row],[backers_count]],0)</f>
        <v>75</v>
      </c>
      <c r="J190" t="s">
        <v>107</v>
      </c>
      <c r="K190" t="s">
        <v>108</v>
      </c>
      <c r="L190">
        <v>1417500000</v>
      </c>
      <c r="M190">
        <v>1417586400</v>
      </c>
      <c r="N190" s="8">
        <f t="shared" si="4"/>
        <v>41975.25</v>
      </c>
      <c r="O190" s="8">
        <f t="shared" si="5"/>
        <v>41976.25</v>
      </c>
      <c r="P190" s="5">
        <f>_xlfn.DAYS(Table2[[#This Row],[Date Ended Conversion]],Table2[[#This Row],[Date Created Conversion]])+1</f>
        <v>2</v>
      </c>
      <c r="Q190" t="b">
        <v>0</v>
      </c>
      <c r="R190" t="b">
        <v>0</v>
      </c>
      <c r="S190" t="s">
        <v>33</v>
      </c>
      <c r="T190" t="str">
        <f>_xlfn.TEXTBEFORE(Table2[[#This Row],[category &amp; sub-category]],"/")</f>
        <v>theater</v>
      </c>
      <c r="U190" t="str">
        <f>_xlfn.TEXTAFTER(Table2[[#This Row],[category &amp; sub-category]],"/")</f>
        <v>plays</v>
      </c>
    </row>
    <row r="191" spans="1:21" ht="17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5">
        <f>100*Table2[[#This Row],[pledged]]/Table2[[#This Row],[goal]]</f>
        <v>23.525352848928385</v>
      </c>
      <c r="G191" t="s">
        <v>74</v>
      </c>
      <c r="H191">
        <v>441</v>
      </c>
      <c r="I191" s="4">
        <f>IF(Table2[[#This Row],[pledged]]&gt;0,Table2[[#This Row],[pledged]]/Table2[[#This Row],[backers_count]],0)</f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8">
        <f t="shared" si="4"/>
        <v>42433.25</v>
      </c>
      <c r="O191" s="8">
        <f t="shared" si="5"/>
        <v>42433.25</v>
      </c>
      <c r="P191" s="5">
        <f>_xlfn.DAYS(Table2[[#This Row],[Date Ended Conversion]],Table2[[#This Row],[Date Created Conversion]])+1</f>
        <v>1</v>
      </c>
      <c r="Q191" t="b">
        <v>0</v>
      </c>
      <c r="R191" t="b">
        <v>0</v>
      </c>
      <c r="S191" t="s">
        <v>33</v>
      </c>
      <c r="T191" t="str">
        <f>_xlfn.TEXTBEFORE(Table2[[#This Row],[category &amp; sub-category]],"/")</f>
        <v>theater</v>
      </c>
      <c r="U191" t="str">
        <f>_xlfn.TEXTAFTER(Table2[[#This Row],[category &amp; sub-category]],"/")</f>
        <v>plays</v>
      </c>
    </row>
    <row r="192" spans="1:21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5">
        <f>100*Table2[[#This Row],[pledged]]/Table2[[#This Row],[goal]]</f>
        <v>68.594594594594597</v>
      </c>
      <c r="G192" t="s">
        <v>14</v>
      </c>
      <c r="H192">
        <v>24</v>
      </c>
      <c r="I192" s="4">
        <f>IF(Table2[[#This Row],[pledged]]&gt;0,Table2[[#This Row],[pledged]]/Table2[[#This Row],[backers_count]],0)</f>
        <v>105.75</v>
      </c>
      <c r="J192" t="s">
        <v>21</v>
      </c>
      <c r="K192" t="s">
        <v>22</v>
      </c>
      <c r="L192">
        <v>1370322000</v>
      </c>
      <c r="M192">
        <v>1370408400</v>
      </c>
      <c r="N192" s="8">
        <f t="shared" si="4"/>
        <v>41429.208333333336</v>
      </c>
      <c r="O192" s="8">
        <f t="shared" si="5"/>
        <v>41430.208333333336</v>
      </c>
      <c r="P192" s="5">
        <f>_xlfn.DAYS(Table2[[#This Row],[Date Ended Conversion]],Table2[[#This Row],[Date Created Conversion]])+1</f>
        <v>2</v>
      </c>
      <c r="Q192" t="b">
        <v>0</v>
      </c>
      <c r="R192" t="b">
        <v>1</v>
      </c>
      <c r="S192" t="s">
        <v>33</v>
      </c>
      <c r="T192" t="str">
        <f>_xlfn.TEXTBEFORE(Table2[[#This Row],[category &amp; sub-category]],"/")</f>
        <v>theater</v>
      </c>
      <c r="U192" t="str">
        <f>_xlfn.TEXTAFTER(Table2[[#This Row],[category &amp; sub-category]],"/")</f>
        <v>plays</v>
      </c>
    </row>
    <row r="193" spans="1:21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5">
        <f>100*Table2[[#This Row],[pledged]]/Table2[[#This Row],[goal]]</f>
        <v>37.952380952380949</v>
      </c>
      <c r="G193" t="s">
        <v>14</v>
      </c>
      <c r="H193">
        <v>86</v>
      </c>
      <c r="I193" s="4">
        <f>IF(Table2[[#This Row],[pledged]]&gt;0,Table2[[#This Row],[pledged]]/Table2[[#This Row],[backers_count]],0)</f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8">
        <f t="shared" si="4"/>
        <v>43536.208333333328</v>
      </c>
      <c r="O193" s="8">
        <f t="shared" si="5"/>
        <v>43539.208333333328</v>
      </c>
      <c r="P193" s="5">
        <f>_xlfn.DAYS(Table2[[#This Row],[Date Ended Conversion]],Table2[[#This Row],[Date Created Conversion]])+1</f>
        <v>4</v>
      </c>
      <c r="Q193" t="b">
        <v>0</v>
      </c>
      <c r="R193" t="b">
        <v>0</v>
      </c>
      <c r="S193" t="s">
        <v>33</v>
      </c>
      <c r="T193" t="str">
        <f>_xlfn.TEXTBEFORE(Table2[[#This Row],[category &amp; sub-category]],"/")</f>
        <v>theater</v>
      </c>
      <c r="U193" t="str">
        <f>_xlfn.TEXTAFTER(Table2[[#This Row],[category &amp; sub-category]],"/")</f>
        <v>plays</v>
      </c>
    </row>
    <row r="194" spans="1:21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5">
        <f>100*Table2[[#This Row],[pledged]]/Table2[[#This Row],[goal]]</f>
        <v>19.992957746478872</v>
      </c>
      <c r="G194" t="s">
        <v>14</v>
      </c>
      <c r="H194">
        <v>243</v>
      </c>
      <c r="I194" s="4">
        <f>IF(Table2[[#This Row],[pledged]]&gt;0,Table2[[#This Row],[pledged]]/Table2[[#This Row],[backers_count]],0)</f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8">
        <f t="shared" ref="N194:N257" si="6">(((L194/60)/60)/24)+DATE(1970,1,1)</f>
        <v>41817.208333333336</v>
      </c>
      <c r="O194" s="8">
        <f t="shared" ref="O194:O257" si="7">(((M194/60)/60)/24)+DATE(1970,1,1)</f>
        <v>41821.208333333336</v>
      </c>
      <c r="P194" s="5">
        <f>_xlfn.DAYS(Table2[[#This Row],[Date Ended Conversion]],Table2[[#This Row],[Date Created Conversion]])+1</f>
        <v>5</v>
      </c>
      <c r="Q194" t="b">
        <v>0</v>
      </c>
      <c r="R194" t="b">
        <v>0</v>
      </c>
      <c r="S194" t="s">
        <v>23</v>
      </c>
      <c r="T194" t="str">
        <f>_xlfn.TEXTBEFORE(Table2[[#This Row],[category &amp; sub-category]],"/")</f>
        <v>music</v>
      </c>
      <c r="U194" t="str">
        <f>_xlfn.TEXTAFTER(Table2[[#This Row],[category &amp; sub-category]],"/")</f>
        <v>rock</v>
      </c>
    </row>
    <row r="195" spans="1:21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5">
        <f>100*Table2[[#This Row],[pledged]]/Table2[[#This Row],[goal]]</f>
        <v>45.636363636363633</v>
      </c>
      <c r="G195" t="s">
        <v>14</v>
      </c>
      <c r="H195">
        <v>65</v>
      </c>
      <c r="I195" s="4">
        <f>IF(Table2[[#This Row],[pledged]]&gt;0,Table2[[#This Row],[pledged]]/Table2[[#This Row],[backers_count]],0)</f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8">
        <f t="shared" si="6"/>
        <v>43198.208333333328</v>
      </c>
      <c r="O195" s="8">
        <f t="shared" si="7"/>
        <v>43202.208333333328</v>
      </c>
      <c r="P195" s="5">
        <f>_xlfn.DAYS(Table2[[#This Row],[Date Ended Conversion]],Table2[[#This Row],[Date Created Conversion]])+1</f>
        <v>5</v>
      </c>
      <c r="Q195" t="b">
        <v>1</v>
      </c>
      <c r="R195" t="b">
        <v>0</v>
      </c>
      <c r="S195" t="s">
        <v>60</v>
      </c>
      <c r="T195" t="str">
        <f>_xlfn.TEXTBEFORE(Table2[[#This Row],[category &amp; sub-category]],"/")</f>
        <v>music</v>
      </c>
      <c r="U195" t="str">
        <f>_xlfn.TEXTAFTER(Table2[[#This Row],[category &amp; sub-category]],"/")</f>
        <v>indie rock</v>
      </c>
    </row>
    <row r="196" spans="1:21" ht="17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5">
        <f>100*Table2[[#This Row],[pledged]]/Table2[[#This Row],[goal]]</f>
        <v>122.7605633802817</v>
      </c>
      <c r="G196" t="s">
        <v>20</v>
      </c>
      <c r="H196">
        <v>126</v>
      </c>
      <c r="I196" s="4">
        <f>IF(Table2[[#This Row],[pledged]]&gt;0,Table2[[#This Row],[pledged]]/Table2[[#This Row],[backers_count]],0)</f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8">
        <f t="shared" si="6"/>
        <v>42261.208333333328</v>
      </c>
      <c r="O196" s="8">
        <f t="shared" si="7"/>
        <v>42277.208333333328</v>
      </c>
      <c r="P196" s="5">
        <f>_xlfn.DAYS(Table2[[#This Row],[Date Ended Conversion]],Table2[[#This Row],[Date Created Conversion]])+1</f>
        <v>17</v>
      </c>
      <c r="Q196" t="b">
        <v>0</v>
      </c>
      <c r="R196" t="b">
        <v>0</v>
      </c>
      <c r="S196" t="s">
        <v>148</v>
      </c>
      <c r="T196" t="str">
        <f>_xlfn.TEXTBEFORE(Table2[[#This Row],[category &amp; sub-category]],"/")</f>
        <v>music</v>
      </c>
      <c r="U196" t="str">
        <f>_xlfn.TEXTAFTER(Table2[[#This Row],[category &amp; sub-category]],"/")</f>
        <v>metal</v>
      </c>
    </row>
    <row r="197" spans="1:21" ht="17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5">
        <f>100*Table2[[#This Row],[pledged]]/Table2[[#This Row],[goal]]</f>
        <v>361.75316455696202</v>
      </c>
      <c r="G197" t="s">
        <v>20</v>
      </c>
      <c r="H197">
        <v>524</v>
      </c>
      <c r="I197" s="4">
        <f>IF(Table2[[#This Row],[pledged]]&gt;0,Table2[[#This Row],[pledged]]/Table2[[#This Row],[backers_count]],0)</f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8">
        <f t="shared" si="6"/>
        <v>43310.208333333328</v>
      </c>
      <c r="O197" s="8">
        <f t="shared" si="7"/>
        <v>43317.208333333328</v>
      </c>
      <c r="P197" s="5">
        <f>_xlfn.DAYS(Table2[[#This Row],[Date Ended Conversion]],Table2[[#This Row],[Date Created Conversion]])+1</f>
        <v>8</v>
      </c>
      <c r="Q197" t="b">
        <v>0</v>
      </c>
      <c r="R197" t="b">
        <v>0</v>
      </c>
      <c r="S197" t="s">
        <v>50</v>
      </c>
      <c r="T197" t="str">
        <f>_xlfn.TEXTBEFORE(Table2[[#This Row],[category &amp; sub-category]],"/")</f>
        <v>music</v>
      </c>
      <c r="U197" t="str">
        <f>_xlfn.TEXTAFTER(Table2[[#This Row],[category &amp; sub-category]],"/")</f>
        <v>electric music</v>
      </c>
    </row>
    <row r="198" spans="1:21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5">
        <f>100*Table2[[#This Row],[pledged]]/Table2[[#This Row],[goal]]</f>
        <v>63.146341463414636</v>
      </c>
      <c r="G198" t="s">
        <v>14</v>
      </c>
      <c r="H198">
        <v>100</v>
      </c>
      <c r="I198" s="4">
        <f>IF(Table2[[#This Row],[pledged]]&gt;0,Table2[[#This Row],[pledged]]/Table2[[#This Row],[backers_count]],0)</f>
        <v>51.78</v>
      </c>
      <c r="J198" t="s">
        <v>36</v>
      </c>
      <c r="K198" t="s">
        <v>37</v>
      </c>
      <c r="L198">
        <v>1472878800</v>
      </c>
      <c r="M198">
        <v>1474520400</v>
      </c>
      <c r="N198" s="8">
        <f t="shared" si="6"/>
        <v>42616.208333333328</v>
      </c>
      <c r="O198" s="8">
        <f t="shared" si="7"/>
        <v>42635.208333333328</v>
      </c>
      <c r="P198" s="5">
        <f>_xlfn.DAYS(Table2[[#This Row],[Date Ended Conversion]],Table2[[#This Row],[Date Created Conversion]])+1</f>
        <v>20</v>
      </c>
      <c r="Q198" t="b">
        <v>0</v>
      </c>
      <c r="R198" t="b">
        <v>0</v>
      </c>
      <c r="S198" t="s">
        <v>65</v>
      </c>
      <c r="T198" t="str">
        <f>_xlfn.TEXTBEFORE(Table2[[#This Row],[category &amp; sub-category]],"/")</f>
        <v>technology</v>
      </c>
      <c r="U198" t="str">
        <f>_xlfn.TEXTAFTER(Table2[[#This Row],[category &amp; sub-category]],"/")</f>
        <v>wearables</v>
      </c>
    </row>
    <row r="199" spans="1:21" ht="17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5">
        <f>100*Table2[[#This Row],[pledged]]/Table2[[#This Row],[goal]]</f>
        <v>298.20475319926874</v>
      </c>
      <c r="G199" t="s">
        <v>20</v>
      </c>
      <c r="H199">
        <v>1989</v>
      </c>
      <c r="I199" s="4">
        <f>IF(Table2[[#This Row],[pledged]]&gt;0,Table2[[#This Row],[pledged]]/Table2[[#This Row],[backers_count]],0)</f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8">
        <f t="shared" si="6"/>
        <v>42909.208333333328</v>
      </c>
      <c r="O199" s="8">
        <f t="shared" si="7"/>
        <v>42923.208333333328</v>
      </c>
      <c r="P199" s="5">
        <f>_xlfn.DAYS(Table2[[#This Row],[Date Ended Conversion]],Table2[[#This Row],[Date Created Conversion]])+1</f>
        <v>15</v>
      </c>
      <c r="Q199" t="b">
        <v>0</v>
      </c>
      <c r="R199" t="b">
        <v>0</v>
      </c>
      <c r="S199" t="s">
        <v>53</v>
      </c>
      <c r="T199" t="str">
        <f>_xlfn.TEXTBEFORE(Table2[[#This Row],[category &amp; sub-category]],"/")</f>
        <v>film &amp; video</v>
      </c>
      <c r="U199" t="str">
        <f>_xlfn.TEXTAFTER(Table2[[#This Row],[category &amp; sub-category]],"/")</f>
        <v>drama</v>
      </c>
    </row>
    <row r="200" spans="1:21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5">
        <f>100*Table2[[#This Row],[pledged]]/Table2[[#This Row],[goal]]</f>
        <v>9.5585443037974684</v>
      </c>
      <c r="G200" t="s">
        <v>14</v>
      </c>
      <c r="H200">
        <v>168</v>
      </c>
      <c r="I200" s="4">
        <f>IF(Table2[[#This Row],[pledged]]&gt;0,Table2[[#This Row],[pledged]]/Table2[[#This Row],[backers_count]],0)</f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8">
        <f t="shared" si="6"/>
        <v>40396.208333333336</v>
      </c>
      <c r="O200" s="8">
        <f t="shared" si="7"/>
        <v>40425.208333333336</v>
      </c>
      <c r="P200" s="5">
        <f>_xlfn.DAYS(Table2[[#This Row],[Date Ended Conversion]],Table2[[#This Row],[Date Created Conversion]])+1</f>
        <v>30</v>
      </c>
      <c r="Q200" t="b">
        <v>0</v>
      </c>
      <c r="R200" t="b">
        <v>0</v>
      </c>
      <c r="S200" t="s">
        <v>50</v>
      </c>
      <c r="T200" t="str">
        <f>_xlfn.TEXTBEFORE(Table2[[#This Row],[category &amp; sub-category]],"/")</f>
        <v>music</v>
      </c>
      <c r="U200" t="str">
        <f>_xlfn.TEXTAFTER(Table2[[#This Row],[category &amp; sub-category]],"/")</f>
        <v>electric music</v>
      </c>
    </row>
    <row r="201" spans="1:21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5">
        <f>100*Table2[[#This Row],[pledged]]/Table2[[#This Row],[goal]]</f>
        <v>53.777777777777779</v>
      </c>
      <c r="G201" t="s">
        <v>14</v>
      </c>
      <c r="H201">
        <v>13</v>
      </c>
      <c r="I201" s="4">
        <f>IF(Table2[[#This Row],[pledged]]&gt;0,Table2[[#This Row],[pledged]]/Table2[[#This Row],[backers_count]],0)</f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8">
        <f t="shared" si="6"/>
        <v>42192.208333333328</v>
      </c>
      <c r="O201" s="8">
        <f t="shared" si="7"/>
        <v>42196.208333333328</v>
      </c>
      <c r="P201" s="5">
        <f>_xlfn.DAYS(Table2[[#This Row],[Date Ended Conversion]],Table2[[#This Row],[Date Created Conversion]])+1</f>
        <v>5</v>
      </c>
      <c r="Q201" t="b">
        <v>0</v>
      </c>
      <c r="R201" t="b">
        <v>0</v>
      </c>
      <c r="S201" t="s">
        <v>23</v>
      </c>
      <c r="T201" t="str">
        <f>_xlfn.TEXTBEFORE(Table2[[#This Row],[category &amp; sub-category]],"/")</f>
        <v>music</v>
      </c>
      <c r="U201" t="str">
        <f>_xlfn.TEXTAFTER(Table2[[#This Row],[category &amp; sub-category]],"/")</f>
        <v>rock</v>
      </c>
    </row>
    <row r="202" spans="1:21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5">
        <f>100*Table2[[#This Row],[pledged]]/Table2[[#This Row],[goal]]</f>
        <v>2</v>
      </c>
      <c r="G202" t="s">
        <v>14</v>
      </c>
      <c r="H202">
        <v>1</v>
      </c>
      <c r="I202" s="4">
        <f>IF(Table2[[#This Row],[pledged]]&gt;0,Table2[[#This Row],[pledged]]/Table2[[#This Row],[backers_count]],0)</f>
        <v>2</v>
      </c>
      <c r="J202" t="s">
        <v>15</v>
      </c>
      <c r="K202" t="s">
        <v>16</v>
      </c>
      <c r="L202">
        <v>1269493200</v>
      </c>
      <c r="M202">
        <v>1270443600</v>
      </c>
      <c r="N202" s="8">
        <f t="shared" si="6"/>
        <v>40262.208333333336</v>
      </c>
      <c r="O202" s="8">
        <f t="shared" si="7"/>
        <v>40273.208333333336</v>
      </c>
      <c r="P202" s="5">
        <f>_xlfn.DAYS(Table2[[#This Row],[Date Ended Conversion]],Table2[[#This Row],[Date Created Conversion]])+1</f>
        <v>12</v>
      </c>
      <c r="Q202" t="b">
        <v>0</v>
      </c>
      <c r="R202" t="b">
        <v>0</v>
      </c>
      <c r="S202" t="s">
        <v>33</v>
      </c>
      <c r="T202" t="str">
        <f>_xlfn.TEXTBEFORE(Table2[[#This Row],[category &amp; sub-category]],"/")</f>
        <v>theater</v>
      </c>
      <c r="U202" t="str">
        <f>_xlfn.TEXTAFTER(Table2[[#This Row],[category &amp; sub-category]],"/")</f>
        <v>plays</v>
      </c>
    </row>
    <row r="203" spans="1:21" ht="34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5">
        <f>100*Table2[[#This Row],[pledged]]/Table2[[#This Row],[goal]]</f>
        <v>681.19047619047615</v>
      </c>
      <c r="G203" t="s">
        <v>20</v>
      </c>
      <c r="H203">
        <v>157</v>
      </c>
      <c r="I203" s="4">
        <f>IF(Table2[[#This Row],[pledged]]&gt;0,Table2[[#This Row],[pledged]]/Table2[[#This Row],[backers_count]],0)</f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8">
        <f t="shared" si="6"/>
        <v>41845.208333333336</v>
      </c>
      <c r="O203" s="8">
        <f t="shared" si="7"/>
        <v>41863.208333333336</v>
      </c>
      <c r="P203" s="5">
        <f>_xlfn.DAYS(Table2[[#This Row],[Date Ended Conversion]],Table2[[#This Row],[Date Created Conversion]])+1</f>
        <v>19</v>
      </c>
      <c r="Q203" t="b">
        <v>0</v>
      </c>
      <c r="R203" t="b">
        <v>0</v>
      </c>
      <c r="S203" t="s">
        <v>28</v>
      </c>
      <c r="T203" t="str">
        <f>_xlfn.TEXTBEFORE(Table2[[#This Row],[category &amp; sub-category]],"/")</f>
        <v>technology</v>
      </c>
      <c r="U203" t="str">
        <f>_xlfn.TEXTAFTER(Table2[[#This Row],[category &amp; sub-category]],"/")</f>
        <v>web</v>
      </c>
    </row>
    <row r="204" spans="1:21" ht="17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5">
        <f>100*Table2[[#This Row],[pledged]]/Table2[[#This Row],[goal]]</f>
        <v>78.831325301204814</v>
      </c>
      <c r="G204" t="s">
        <v>74</v>
      </c>
      <c r="H204">
        <v>82</v>
      </c>
      <c r="I204" s="4">
        <f>IF(Table2[[#This Row],[pledged]]&gt;0,Table2[[#This Row],[pledged]]/Table2[[#This Row],[backers_count]],0)</f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8">
        <f t="shared" si="6"/>
        <v>40818.208333333336</v>
      </c>
      <c r="O204" s="8">
        <f t="shared" si="7"/>
        <v>40822.208333333336</v>
      </c>
      <c r="P204" s="5">
        <f>_xlfn.DAYS(Table2[[#This Row],[Date Ended Conversion]],Table2[[#This Row],[Date Created Conversion]])+1</f>
        <v>5</v>
      </c>
      <c r="Q204" t="b">
        <v>0</v>
      </c>
      <c r="R204" t="b">
        <v>0</v>
      </c>
      <c r="S204" t="s">
        <v>17</v>
      </c>
      <c r="T204" t="str">
        <f>_xlfn.TEXTBEFORE(Table2[[#This Row],[category &amp; sub-category]],"/")</f>
        <v>food</v>
      </c>
      <c r="U204" t="str">
        <f>_xlfn.TEXTAFTER(Table2[[#This Row],[category &amp; sub-category]],"/")</f>
        <v>food trucks</v>
      </c>
    </row>
    <row r="205" spans="1:21" ht="34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5">
        <f>100*Table2[[#This Row],[pledged]]/Table2[[#This Row],[goal]]</f>
        <v>134.40792216817235</v>
      </c>
      <c r="G205" t="s">
        <v>20</v>
      </c>
      <c r="H205">
        <v>4498</v>
      </c>
      <c r="I205" s="4">
        <f>IF(Table2[[#This Row],[pledged]]&gt;0,Table2[[#This Row],[pledged]]/Table2[[#This Row],[backers_count]],0)</f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8">
        <f t="shared" si="6"/>
        <v>42752.25</v>
      </c>
      <c r="O205" s="8">
        <f t="shared" si="7"/>
        <v>42754.25</v>
      </c>
      <c r="P205" s="5">
        <f>_xlfn.DAYS(Table2[[#This Row],[Date Ended Conversion]],Table2[[#This Row],[Date Created Conversion]])+1</f>
        <v>3</v>
      </c>
      <c r="Q205" t="b">
        <v>0</v>
      </c>
      <c r="R205" t="b">
        <v>0</v>
      </c>
      <c r="S205" t="s">
        <v>33</v>
      </c>
      <c r="T205" t="str">
        <f>_xlfn.TEXTBEFORE(Table2[[#This Row],[category &amp; sub-category]],"/")</f>
        <v>theater</v>
      </c>
      <c r="U205" t="str">
        <f>_xlfn.TEXTAFTER(Table2[[#This Row],[category &amp; sub-category]],"/")</f>
        <v>plays</v>
      </c>
    </row>
    <row r="206" spans="1:21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5">
        <f>100*Table2[[#This Row],[pledged]]/Table2[[#This Row],[goal]]</f>
        <v>3.3719999999999999</v>
      </c>
      <c r="G206" t="s">
        <v>14</v>
      </c>
      <c r="H206">
        <v>40</v>
      </c>
      <c r="I206" s="4">
        <f>IF(Table2[[#This Row],[pledged]]&gt;0,Table2[[#This Row],[pledged]]/Table2[[#This Row],[backers_count]],0)</f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8">
        <f t="shared" si="6"/>
        <v>40636.208333333336</v>
      </c>
      <c r="O206" s="8">
        <f t="shared" si="7"/>
        <v>40646.208333333336</v>
      </c>
      <c r="P206" s="5">
        <f>_xlfn.DAYS(Table2[[#This Row],[Date Ended Conversion]],Table2[[#This Row],[Date Created Conversion]])+1</f>
        <v>11</v>
      </c>
      <c r="Q206" t="b">
        <v>0</v>
      </c>
      <c r="R206" t="b">
        <v>0</v>
      </c>
      <c r="S206" t="s">
        <v>159</v>
      </c>
      <c r="T206" t="str">
        <f>_xlfn.TEXTBEFORE(Table2[[#This Row],[category &amp; sub-category]],"/")</f>
        <v>music</v>
      </c>
      <c r="U206" t="str">
        <f>_xlfn.TEXTAFTER(Table2[[#This Row],[category &amp; sub-category]],"/")</f>
        <v>jazz</v>
      </c>
    </row>
    <row r="207" spans="1:21" ht="17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5">
        <f>100*Table2[[#This Row],[pledged]]/Table2[[#This Row],[goal]]</f>
        <v>431.84615384615387</v>
      </c>
      <c r="G207" t="s">
        <v>20</v>
      </c>
      <c r="H207">
        <v>80</v>
      </c>
      <c r="I207" s="4">
        <f>IF(Table2[[#This Row],[pledged]]&gt;0,Table2[[#This Row],[pledged]]/Table2[[#This Row],[backers_count]],0)</f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8">
        <f t="shared" si="6"/>
        <v>43390.208333333328</v>
      </c>
      <c r="O207" s="8">
        <f t="shared" si="7"/>
        <v>43402.208333333328</v>
      </c>
      <c r="P207" s="5">
        <f>_xlfn.DAYS(Table2[[#This Row],[Date Ended Conversion]],Table2[[#This Row],[Date Created Conversion]])+1</f>
        <v>13</v>
      </c>
      <c r="Q207" t="b">
        <v>1</v>
      </c>
      <c r="R207" t="b">
        <v>0</v>
      </c>
      <c r="S207" t="s">
        <v>33</v>
      </c>
      <c r="T207" t="str">
        <f>_xlfn.TEXTBEFORE(Table2[[#This Row],[category &amp; sub-category]],"/")</f>
        <v>theater</v>
      </c>
      <c r="U207" t="str">
        <f>_xlfn.TEXTAFTER(Table2[[#This Row],[category &amp; sub-category]],"/")</f>
        <v>plays</v>
      </c>
    </row>
    <row r="208" spans="1:21" ht="17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5">
        <f>100*Table2[[#This Row],[pledged]]/Table2[[#This Row],[goal]]</f>
        <v>38.844444444444441</v>
      </c>
      <c r="G208" t="s">
        <v>74</v>
      </c>
      <c r="H208">
        <v>57</v>
      </c>
      <c r="I208" s="4">
        <f>IF(Table2[[#This Row],[pledged]]&gt;0,Table2[[#This Row],[pledged]]/Table2[[#This Row],[backers_count]],0)</f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8">
        <f t="shared" si="6"/>
        <v>40236.25</v>
      </c>
      <c r="O208" s="8">
        <f t="shared" si="7"/>
        <v>40245.25</v>
      </c>
      <c r="P208" s="5">
        <f>_xlfn.DAYS(Table2[[#This Row],[Date Ended Conversion]],Table2[[#This Row],[Date Created Conversion]])+1</f>
        <v>10</v>
      </c>
      <c r="Q208" t="b">
        <v>0</v>
      </c>
      <c r="R208" t="b">
        <v>0</v>
      </c>
      <c r="S208" t="s">
        <v>119</v>
      </c>
      <c r="T208" t="str">
        <f>_xlfn.TEXTBEFORE(Table2[[#This Row],[category &amp; sub-category]],"/")</f>
        <v>publishing</v>
      </c>
      <c r="U208" t="str">
        <f>_xlfn.TEXTAFTER(Table2[[#This Row],[category &amp; sub-category]],"/")</f>
        <v>fiction</v>
      </c>
    </row>
    <row r="209" spans="1:21" ht="34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5">
        <f>100*Table2[[#This Row],[pledged]]/Table2[[#This Row],[goal]]</f>
        <v>425.7</v>
      </c>
      <c r="G209" t="s">
        <v>20</v>
      </c>
      <c r="H209">
        <v>43</v>
      </c>
      <c r="I209" s="4">
        <f>IF(Table2[[#This Row],[pledged]]&gt;0,Table2[[#This Row],[pledged]]/Table2[[#This Row],[backers_count]],0)</f>
        <v>99</v>
      </c>
      <c r="J209" t="s">
        <v>21</v>
      </c>
      <c r="K209" t="s">
        <v>22</v>
      </c>
      <c r="L209">
        <v>1535432400</v>
      </c>
      <c r="M209">
        <v>1537160400</v>
      </c>
      <c r="N209" s="8">
        <f t="shared" si="6"/>
        <v>43340.208333333328</v>
      </c>
      <c r="O209" s="8">
        <f t="shared" si="7"/>
        <v>43360.208333333328</v>
      </c>
      <c r="P209" s="5">
        <f>_xlfn.DAYS(Table2[[#This Row],[Date Ended Conversion]],Table2[[#This Row],[Date Created Conversion]])+1</f>
        <v>21</v>
      </c>
      <c r="Q209" t="b">
        <v>0</v>
      </c>
      <c r="R209" t="b">
        <v>1</v>
      </c>
      <c r="S209" t="s">
        <v>23</v>
      </c>
      <c r="T209" t="str">
        <f>_xlfn.TEXTBEFORE(Table2[[#This Row],[category &amp; sub-category]],"/")</f>
        <v>music</v>
      </c>
      <c r="U209" t="str">
        <f>_xlfn.TEXTAFTER(Table2[[#This Row],[category &amp; sub-category]],"/")</f>
        <v>rock</v>
      </c>
    </row>
    <row r="210" spans="1:21" ht="17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5">
        <f>100*Table2[[#This Row],[pledged]]/Table2[[#This Row],[goal]]</f>
        <v>101.12239715591672</v>
      </c>
      <c r="G210" t="s">
        <v>20</v>
      </c>
      <c r="H210">
        <v>2053</v>
      </c>
      <c r="I210" s="4">
        <f>IF(Table2[[#This Row],[pledged]]&gt;0,Table2[[#This Row],[pledged]]/Table2[[#This Row],[backers_count]],0)</f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8">
        <f t="shared" si="6"/>
        <v>43048.25</v>
      </c>
      <c r="O210" s="8">
        <f t="shared" si="7"/>
        <v>43072.25</v>
      </c>
      <c r="P210" s="5">
        <f>_xlfn.DAYS(Table2[[#This Row],[Date Ended Conversion]],Table2[[#This Row],[Date Created Conversion]])+1</f>
        <v>25</v>
      </c>
      <c r="Q210" t="b">
        <v>0</v>
      </c>
      <c r="R210" t="b">
        <v>0</v>
      </c>
      <c r="S210" t="s">
        <v>42</v>
      </c>
      <c r="T210" t="str">
        <f>_xlfn.TEXTBEFORE(Table2[[#This Row],[category &amp; sub-category]],"/")</f>
        <v>film &amp; video</v>
      </c>
      <c r="U210" t="str">
        <f>_xlfn.TEXTAFTER(Table2[[#This Row],[category &amp; sub-category]],"/")</f>
        <v>documentary</v>
      </c>
    </row>
    <row r="211" spans="1:21" ht="17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5">
        <f>100*Table2[[#This Row],[pledged]]/Table2[[#This Row],[goal]]</f>
        <v>21.188688946015425</v>
      </c>
      <c r="G211" t="s">
        <v>47</v>
      </c>
      <c r="H211">
        <v>808</v>
      </c>
      <c r="I211" s="4">
        <f>IF(Table2[[#This Row],[pledged]]&gt;0,Table2[[#This Row],[pledged]]/Table2[[#This Row],[backers_count]],0)</f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8">
        <f t="shared" si="6"/>
        <v>42496.208333333328</v>
      </c>
      <c r="O211" s="8">
        <f t="shared" si="7"/>
        <v>42503.208333333328</v>
      </c>
      <c r="P211" s="5">
        <f>_xlfn.DAYS(Table2[[#This Row],[Date Ended Conversion]],Table2[[#This Row],[Date Created Conversion]])+1</f>
        <v>8</v>
      </c>
      <c r="Q211" t="b">
        <v>0</v>
      </c>
      <c r="R211" t="b">
        <v>0</v>
      </c>
      <c r="S211" t="s">
        <v>42</v>
      </c>
      <c r="T211" t="str">
        <f>_xlfn.TEXTBEFORE(Table2[[#This Row],[category &amp; sub-category]],"/")</f>
        <v>film &amp; video</v>
      </c>
      <c r="U211" t="str">
        <f>_xlfn.TEXTAFTER(Table2[[#This Row],[category &amp; sub-category]],"/")</f>
        <v>documentary</v>
      </c>
    </row>
    <row r="212" spans="1:21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5">
        <f>100*Table2[[#This Row],[pledged]]/Table2[[#This Row],[goal]]</f>
        <v>67.425531914893611</v>
      </c>
      <c r="G212" t="s">
        <v>14</v>
      </c>
      <c r="H212">
        <v>226</v>
      </c>
      <c r="I212" s="4">
        <f>IF(Table2[[#This Row],[pledged]]&gt;0,Table2[[#This Row],[pledged]]/Table2[[#This Row],[backers_count]],0)</f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8">
        <f t="shared" si="6"/>
        <v>42797.25</v>
      </c>
      <c r="O212" s="8">
        <f t="shared" si="7"/>
        <v>42824.208333333328</v>
      </c>
      <c r="P212" s="5">
        <f>_xlfn.DAYS(Table2[[#This Row],[Date Ended Conversion]],Table2[[#This Row],[Date Created Conversion]])+1</f>
        <v>28</v>
      </c>
      <c r="Q212" t="b">
        <v>0</v>
      </c>
      <c r="R212" t="b">
        <v>0</v>
      </c>
      <c r="S212" t="s">
        <v>474</v>
      </c>
      <c r="T212" t="str">
        <f>_xlfn.TEXTBEFORE(Table2[[#This Row],[category &amp; sub-category]],"/")</f>
        <v>film &amp; video</v>
      </c>
      <c r="U212" t="str">
        <f>_xlfn.TEXTAFTER(Table2[[#This Row],[category &amp; sub-category]],"/")</f>
        <v>science fiction</v>
      </c>
    </row>
    <row r="213" spans="1:21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5">
        <f>100*Table2[[#This Row],[pledged]]/Table2[[#This Row],[goal]]</f>
        <v>94.923371647509583</v>
      </c>
      <c r="G213" t="s">
        <v>14</v>
      </c>
      <c r="H213">
        <v>1625</v>
      </c>
      <c r="I213" s="4">
        <f>IF(Table2[[#This Row],[pledged]]&gt;0,Table2[[#This Row],[pledged]]/Table2[[#This Row],[backers_count]],0)</f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8">
        <f t="shared" si="6"/>
        <v>41513.208333333336</v>
      </c>
      <c r="O213" s="8">
        <f t="shared" si="7"/>
        <v>41537.208333333336</v>
      </c>
      <c r="P213" s="5">
        <f>_xlfn.DAYS(Table2[[#This Row],[Date Ended Conversion]],Table2[[#This Row],[Date Created Conversion]])+1</f>
        <v>25</v>
      </c>
      <c r="Q213" t="b">
        <v>0</v>
      </c>
      <c r="R213" t="b">
        <v>0</v>
      </c>
      <c r="S213" t="s">
        <v>33</v>
      </c>
      <c r="T213" t="str">
        <f>_xlfn.TEXTBEFORE(Table2[[#This Row],[category &amp; sub-category]],"/")</f>
        <v>theater</v>
      </c>
      <c r="U213" t="str">
        <f>_xlfn.TEXTAFTER(Table2[[#This Row],[category &amp; sub-category]],"/")</f>
        <v>plays</v>
      </c>
    </row>
    <row r="214" spans="1:21" ht="34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5">
        <f>100*Table2[[#This Row],[pledged]]/Table2[[#This Row],[goal]]</f>
        <v>151.85185185185185</v>
      </c>
      <c r="G214" t="s">
        <v>20</v>
      </c>
      <c r="H214">
        <v>168</v>
      </c>
      <c r="I214" s="4">
        <f>IF(Table2[[#This Row],[pledged]]&gt;0,Table2[[#This Row],[pledged]]/Table2[[#This Row],[backers_count]],0)</f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8">
        <f t="shared" si="6"/>
        <v>43814.25</v>
      </c>
      <c r="O214" s="8">
        <f t="shared" si="7"/>
        <v>43860.25</v>
      </c>
      <c r="P214" s="5">
        <f>_xlfn.DAYS(Table2[[#This Row],[Date Ended Conversion]],Table2[[#This Row],[Date Created Conversion]])+1</f>
        <v>47</v>
      </c>
      <c r="Q214" t="b">
        <v>0</v>
      </c>
      <c r="R214" t="b">
        <v>0</v>
      </c>
      <c r="S214" t="s">
        <v>33</v>
      </c>
      <c r="T214" t="str">
        <f>_xlfn.TEXTBEFORE(Table2[[#This Row],[category &amp; sub-category]],"/")</f>
        <v>theater</v>
      </c>
      <c r="U214" t="str">
        <f>_xlfn.TEXTAFTER(Table2[[#This Row],[category &amp; sub-category]],"/")</f>
        <v>plays</v>
      </c>
    </row>
    <row r="215" spans="1:21" ht="34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5">
        <f>100*Table2[[#This Row],[pledged]]/Table2[[#This Row],[goal]]</f>
        <v>195.16382252559728</v>
      </c>
      <c r="G215" t="s">
        <v>20</v>
      </c>
      <c r="H215">
        <v>4289</v>
      </c>
      <c r="I215" s="4">
        <f>IF(Table2[[#This Row],[pledged]]&gt;0,Table2[[#This Row],[pledged]]/Table2[[#This Row],[backers_count]],0)</f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8">
        <f t="shared" si="6"/>
        <v>40488.208333333336</v>
      </c>
      <c r="O215" s="8">
        <f t="shared" si="7"/>
        <v>40496.25</v>
      </c>
      <c r="P215" s="5">
        <f>_xlfn.DAYS(Table2[[#This Row],[Date Ended Conversion]],Table2[[#This Row],[Date Created Conversion]])+1</f>
        <v>9</v>
      </c>
      <c r="Q215" t="b">
        <v>0</v>
      </c>
      <c r="R215" t="b">
        <v>1</v>
      </c>
      <c r="S215" t="s">
        <v>60</v>
      </c>
      <c r="T215" t="str">
        <f>_xlfn.TEXTBEFORE(Table2[[#This Row],[category &amp; sub-category]],"/")</f>
        <v>music</v>
      </c>
      <c r="U215" t="str">
        <f>_xlfn.TEXTAFTER(Table2[[#This Row],[category &amp; sub-category]],"/")</f>
        <v>indie rock</v>
      </c>
    </row>
    <row r="216" spans="1:21" ht="17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5">
        <f>100*Table2[[#This Row],[pledged]]/Table2[[#This Row],[goal]]</f>
        <v>1023.1428571428571</v>
      </c>
      <c r="G216" t="s">
        <v>20</v>
      </c>
      <c r="H216">
        <v>165</v>
      </c>
      <c r="I216" s="4">
        <f>IF(Table2[[#This Row],[pledged]]&gt;0,Table2[[#This Row],[pledged]]/Table2[[#This Row],[backers_count]],0)</f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8">
        <f t="shared" si="6"/>
        <v>40409.208333333336</v>
      </c>
      <c r="O216" s="8">
        <f t="shared" si="7"/>
        <v>40415.208333333336</v>
      </c>
      <c r="P216" s="5">
        <f>_xlfn.DAYS(Table2[[#This Row],[Date Ended Conversion]],Table2[[#This Row],[Date Created Conversion]])+1</f>
        <v>7</v>
      </c>
      <c r="Q216" t="b">
        <v>0</v>
      </c>
      <c r="R216" t="b">
        <v>0</v>
      </c>
      <c r="S216" t="s">
        <v>23</v>
      </c>
      <c r="T216" t="str">
        <f>_xlfn.TEXTBEFORE(Table2[[#This Row],[category &amp; sub-category]],"/")</f>
        <v>music</v>
      </c>
      <c r="U216" t="str">
        <f>_xlfn.TEXTAFTER(Table2[[#This Row],[category &amp; sub-category]],"/")</f>
        <v>rock</v>
      </c>
    </row>
    <row r="217" spans="1:21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5">
        <f>100*Table2[[#This Row],[pledged]]/Table2[[#This Row],[goal]]</f>
        <v>3.8418367346938775</v>
      </c>
      <c r="G217" t="s">
        <v>14</v>
      </c>
      <c r="H217">
        <v>143</v>
      </c>
      <c r="I217" s="4">
        <f>IF(Table2[[#This Row],[pledged]]&gt;0,Table2[[#This Row],[pledged]]/Table2[[#This Row],[backers_count]],0)</f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8">
        <f t="shared" si="6"/>
        <v>43509.25</v>
      </c>
      <c r="O217" s="8">
        <f t="shared" si="7"/>
        <v>43511.25</v>
      </c>
      <c r="P217" s="5">
        <f>_xlfn.DAYS(Table2[[#This Row],[Date Ended Conversion]],Table2[[#This Row],[Date Created Conversion]])+1</f>
        <v>3</v>
      </c>
      <c r="Q217" t="b">
        <v>0</v>
      </c>
      <c r="R217" t="b">
        <v>0</v>
      </c>
      <c r="S217" t="s">
        <v>33</v>
      </c>
      <c r="T217" t="str">
        <f>_xlfn.TEXTBEFORE(Table2[[#This Row],[category &amp; sub-category]],"/")</f>
        <v>theater</v>
      </c>
      <c r="U217" t="str">
        <f>_xlfn.TEXTAFTER(Table2[[#This Row],[category &amp; sub-category]],"/")</f>
        <v>plays</v>
      </c>
    </row>
    <row r="218" spans="1:21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5">
        <f>100*Table2[[#This Row],[pledged]]/Table2[[#This Row],[goal]]</f>
        <v>155.0706655710764</v>
      </c>
      <c r="G218" t="s">
        <v>20</v>
      </c>
      <c r="H218">
        <v>1815</v>
      </c>
      <c r="I218" s="4">
        <f>IF(Table2[[#This Row],[pledged]]&gt;0,Table2[[#This Row],[pledged]]/Table2[[#This Row],[backers_count]],0)</f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8">
        <f t="shared" si="6"/>
        <v>40869.25</v>
      </c>
      <c r="O218" s="8">
        <f t="shared" si="7"/>
        <v>40871.25</v>
      </c>
      <c r="P218" s="5">
        <f>_xlfn.DAYS(Table2[[#This Row],[Date Ended Conversion]],Table2[[#This Row],[Date Created Conversion]])+1</f>
        <v>3</v>
      </c>
      <c r="Q218" t="b">
        <v>0</v>
      </c>
      <c r="R218" t="b">
        <v>0</v>
      </c>
      <c r="S218" t="s">
        <v>33</v>
      </c>
      <c r="T218" t="str">
        <f>_xlfn.TEXTBEFORE(Table2[[#This Row],[category &amp; sub-category]],"/")</f>
        <v>theater</v>
      </c>
      <c r="U218" t="str">
        <f>_xlfn.TEXTAFTER(Table2[[#This Row],[category &amp; sub-category]],"/")</f>
        <v>plays</v>
      </c>
    </row>
    <row r="219" spans="1:21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5">
        <f>100*Table2[[#This Row],[pledged]]/Table2[[#This Row],[goal]]</f>
        <v>44.753477588871718</v>
      </c>
      <c r="G219" t="s">
        <v>14</v>
      </c>
      <c r="H219">
        <v>934</v>
      </c>
      <c r="I219" s="4">
        <f>IF(Table2[[#This Row],[pledged]]&gt;0,Table2[[#This Row],[pledged]]/Table2[[#This Row],[backers_count]],0)</f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8">
        <f t="shared" si="6"/>
        <v>43583.208333333328</v>
      </c>
      <c r="O219" s="8">
        <f t="shared" si="7"/>
        <v>43592.208333333328</v>
      </c>
      <c r="P219" s="5">
        <f>_xlfn.DAYS(Table2[[#This Row],[Date Ended Conversion]],Table2[[#This Row],[Date Created Conversion]])+1</f>
        <v>10</v>
      </c>
      <c r="Q219" t="b">
        <v>0</v>
      </c>
      <c r="R219" t="b">
        <v>0</v>
      </c>
      <c r="S219" t="s">
        <v>474</v>
      </c>
      <c r="T219" t="str">
        <f>_xlfn.TEXTBEFORE(Table2[[#This Row],[category &amp; sub-category]],"/")</f>
        <v>film &amp; video</v>
      </c>
      <c r="U219" t="str">
        <f>_xlfn.TEXTAFTER(Table2[[#This Row],[category &amp; sub-category]],"/")</f>
        <v>science fiction</v>
      </c>
    </row>
    <row r="220" spans="1:21" ht="17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5">
        <f>100*Table2[[#This Row],[pledged]]/Table2[[#This Row],[goal]]</f>
        <v>215.94736842105263</v>
      </c>
      <c r="G220" t="s">
        <v>20</v>
      </c>
      <c r="H220">
        <v>397</v>
      </c>
      <c r="I220" s="4">
        <f>IF(Table2[[#This Row],[pledged]]&gt;0,Table2[[#This Row],[pledged]]/Table2[[#This Row],[backers_count]],0)</f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8">
        <f t="shared" si="6"/>
        <v>40858.25</v>
      </c>
      <c r="O220" s="8">
        <f t="shared" si="7"/>
        <v>40892.25</v>
      </c>
      <c r="P220" s="5">
        <f>_xlfn.DAYS(Table2[[#This Row],[Date Ended Conversion]],Table2[[#This Row],[Date Created Conversion]])+1</f>
        <v>35</v>
      </c>
      <c r="Q220" t="b">
        <v>0</v>
      </c>
      <c r="R220" t="b">
        <v>1</v>
      </c>
      <c r="S220" t="s">
        <v>100</v>
      </c>
      <c r="T220" t="str">
        <f>_xlfn.TEXTBEFORE(Table2[[#This Row],[category &amp; sub-category]],"/")</f>
        <v>film &amp; video</v>
      </c>
      <c r="U220" t="str">
        <f>_xlfn.TEXTAFTER(Table2[[#This Row],[category &amp; sub-category]],"/")</f>
        <v>shorts</v>
      </c>
    </row>
    <row r="221" spans="1:21" ht="17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5">
        <f>100*Table2[[#This Row],[pledged]]/Table2[[#This Row],[goal]]</f>
        <v>332.12709832134294</v>
      </c>
      <c r="G221" t="s">
        <v>20</v>
      </c>
      <c r="H221">
        <v>1539</v>
      </c>
      <c r="I221" s="4">
        <f>IF(Table2[[#This Row],[pledged]]&gt;0,Table2[[#This Row],[pledged]]/Table2[[#This Row],[backers_count]],0)</f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8">
        <f t="shared" si="6"/>
        <v>41137.208333333336</v>
      </c>
      <c r="O221" s="8">
        <f t="shared" si="7"/>
        <v>41149.208333333336</v>
      </c>
      <c r="P221" s="5">
        <f>_xlfn.DAYS(Table2[[#This Row],[Date Ended Conversion]],Table2[[#This Row],[Date Created Conversion]])+1</f>
        <v>13</v>
      </c>
      <c r="Q221" t="b">
        <v>0</v>
      </c>
      <c r="R221" t="b">
        <v>0</v>
      </c>
      <c r="S221" t="s">
        <v>71</v>
      </c>
      <c r="T221" t="str">
        <f>_xlfn.TEXTBEFORE(Table2[[#This Row],[category &amp; sub-category]],"/")</f>
        <v>film &amp; video</v>
      </c>
      <c r="U221" t="str">
        <f>_xlfn.TEXTAFTER(Table2[[#This Row],[category &amp; sub-category]],"/")</f>
        <v>animation</v>
      </c>
    </row>
    <row r="222" spans="1:21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5">
        <f>100*Table2[[#This Row],[pledged]]/Table2[[#This Row],[goal]]</f>
        <v>8.4430379746835449</v>
      </c>
      <c r="G222" t="s">
        <v>14</v>
      </c>
      <c r="H222">
        <v>17</v>
      </c>
      <c r="I222" s="4">
        <f>IF(Table2[[#This Row],[pledged]]&gt;0,Table2[[#This Row],[pledged]]/Table2[[#This Row],[backers_count]],0)</f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8">
        <f t="shared" si="6"/>
        <v>40725.208333333336</v>
      </c>
      <c r="O222" s="8">
        <f t="shared" si="7"/>
        <v>40743.208333333336</v>
      </c>
      <c r="P222" s="5">
        <f>_xlfn.DAYS(Table2[[#This Row],[Date Ended Conversion]],Table2[[#This Row],[Date Created Conversion]])+1</f>
        <v>19</v>
      </c>
      <c r="Q222" t="b">
        <v>1</v>
      </c>
      <c r="R222" t="b">
        <v>0</v>
      </c>
      <c r="S222" t="s">
        <v>33</v>
      </c>
      <c r="T222" t="str">
        <f>_xlfn.TEXTBEFORE(Table2[[#This Row],[category &amp; sub-category]],"/")</f>
        <v>theater</v>
      </c>
      <c r="U222" t="str">
        <f>_xlfn.TEXTAFTER(Table2[[#This Row],[category &amp; sub-category]],"/")</f>
        <v>plays</v>
      </c>
    </row>
    <row r="223" spans="1:21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5">
        <f>100*Table2[[#This Row],[pledged]]/Table2[[#This Row],[goal]]</f>
        <v>98.625514403292186</v>
      </c>
      <c r="G223" t="s">
        <v>14</v>
      </c>
      <c r="H223">
        <v>2179</v>
      </c>
      <c r="I223" s="4">
        <f>IF(Table2[[#This Row],[pledged]]&gt;0,Table2[[#This Row],[pledged]]/Table2[[#This Row],[backers_count]],0)</f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8">
        <f t="shared" si="6"/>
        <v>41081.208333333336</v>
      </c>
      <c r="O223" s="8">
        <f t="shared" si="7"/>
        <v>41083.208333333336</v>
      </c>
      <c r="P223" s="5">
        <f>_xlfn.DAYS(Table2[[#This Row],[Date Ended Conversion]],Table2[[#This Row],[Date Created Conversion]])+1</f>
        <v>3</v>
      </c>
      <c r="Q223" t="b">
        <v>1</v>
      </c>
      <c r="R223" t="b">
        <v>0</v>
      </c>
      <c r="S223" t="s">
        <v>17</v>
      </c>
      <c r="T223" t="str">
        <f>_xlfn.TEXTBEFORE(Table2[[#This Row],[category &amp; sub-category]],"/")</f>
        <v>food</v>
      </c>
      <c r="U223" t="str">
        <f>_xlfn.TEXTAFTER(Table2[[#This Row],[category &amp; sub-category]],"/")</f>
        <v>food trucks</v>
      </c>
    </row>
    <row r="224" spans="1:21" ht="17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5">
        <f>100*Table2[[#This Row],[pledged]]/Table2[[#This Row],[goal]]</f>
        <v>137.97916666666666</v>
      </c>
      <c r="G224" t="s">
        <v>20</v>
      </c>
      <c r="H224">
        <v>138</v>
      </c>
      <c r="I224" s="4">
        <f>IF(Table2[[#This Row],[pledged]]&gt;0,Table2[[#This Row],[pledged]]/Table2[[#This Row],[backers_count]],0)</f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8">
        <f t="shared" si="6"/>
        <v>41914.208333333336</v>
      </c>
      <c r="O224" s="8">
        <f t="shared" si="7"/>
        <v>41915.208333333336</v>
      </c>
      <c r="P224" s="5">
        <f>_xlfn.DAYS(Table2[[#This Row],[Date Ended Conversion]],Table2[[#This Row],[Date Created Conversion]])+1</f>
        <v>2</v>
      </c>
      <c r="Q224" t="b">
        <v>0</v>
      </c>
      <c r="R224" t="b">
        <v>0</v>
      </c>
      <c r="S224" t="s">
        <v>122</v>
      </c>
      <c r="T224" t="str">
        <f>_xlfn.TEXTBEFORE(Table2[[#This Row],[category &amp; sub-category]],"/")</f>
        <v>photography</v>
      </c>
      <c r="U224" t="str">
        <f>_xlfn.TEXTAFTER(Table2[[#This Row],[category &amp; sub-category]],"/")</f>
        <v>photography books</v>
      </c>
    </row>
    <row r="225" spans="1:21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5">
        <f>100*Table2[[#This Row],[pledged]]/Table2[[#This Row],[goal]]</f>
        <v>93.81099656357388</v>
      </c>
      <c r="G225" t="s">
        <v>14</v>
      </c>
      <c r="H225">
        <v>931</v>
      </c>
      <c r="I225" s="4">
        <f>IF(Table2[[#This Row],[pledged]]&gt;0,Table2[[#This Row],[pledged]]/Table2[[#This Row],[backers_count]],0)</f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8">
        <f t="shared" si="6"/>
        <v>42445.208333333328</v>
      </c>
      <c r="O225" s="8">
        <f t="shared" si="7"/>
        <v>42459.208333333328</v>
      </c>
      <c r="P225" s="5">
        <f>_xlfn.DAYS(Table2[[#This Row],[Date Ended Conversion]],Table2[[#This Row],[Date Created Conversion]])+1</f>
        <v>15</v>
      </c>
      <c r="Q225" t="b">
        <v>0</v>
      </c>
      <c r="R225" t="b">
        <v>0</v>
      </c>
      <c r="S225" t="s">
        <v>33</v>
      </c>
      <c r="T225" t="str">
        <f>_xlfn.TEXTBEFORE(Table2[[#This Row],[category &amp; sub-category]],"/")</f>
        <v>theater</v>
      </c>
      <c r="U225" t="str">
        <f>_xlfn.TEXTAFTER(Table2[[#This Row],[category &amp; sub-category]],"/")</f>
        <v>plays</v>
      </c>
    </row>
    <row r="226" spans="1:21" ht="17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5">
        <f>100*Table2[[#This Row],[pledged]]/Table2[[#This Row],[goal]]</f>
        <v>403.63930885529157</v>
      </c>
      <c r="G226" t="s">
        <v>20</v>
      </c>
      <c r="H226">
        <v>3594</v>
      </c>
      <c r="I226" s="4">
        <f>IF(Table2[[#This Row],[pledged]]&gt;0,Table2[[#This Row],[pledged]]/Table2[[#This Row],[backers_count]],0)</f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8">
        <f t="shared" si="6"/>
        <v>41906.208333333336</v>
      </c>
      <c r="O226" s="8">
        <f t="shared" si="7"/>
        <v>41951.25</v>
      </c>
      <c r="P226" s="5">
        <f>_xlfn.DAYS(Table2[[#This Row],[Date Ended Conversion]],Table2[[#This Row],[Date Created Conversion]])+1</f>
        <v>46</v>
      </c>
      <c r="Q226" t="b">
        <v>0</v>
      </c>
      <c r="R226" t="b">
        <v>0</v>
      </c>
      <c r="S226" t="s">
        <v>474</v>
      </c>
      <c r="T226" t="str">
        <f>_xlfn.TEXTBEFORE(Table2[[#This Row],[category &amp; sub-category]],"/")</f>
        <v>film &amp; video</v>
      </c>
      <c r="U226" t="str">
        <f>_xlfn.TEXTAFTER(Table2[[#This Row],[category &amp; sub-category]],"/")</f>
        <v>science fiction</v>
      </c>
    </row>
    <row r="227" spans="1:21" ht="17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5">
        <f>100*Table2[[#This Row],[pledged]]/Table2[[#This Row],[goal]]</f>
        <v>260.1740412979351</v>
      </c>
      <c r="G227" t="s">
        <v>20</v>
      </c>
      <c r="H227">
        <v>5880</v>
      </c>
      <c r="I227" s="4">
        <f>IF(Table2[[#This Row],[pledged]]&gt;0,Table2[[#This Row],[pledged]]/Table2[[#This Row],[backers_count]],0)</f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8">
        <f t="shared" si="6"/>
        <v>41762.208333333336</v>
      </c>
      <c r="O227" s="8">
        <f t="shared" si="7"/>
        <v>41762.208333333336</v>
      </c>
      <c r="P227" s="5">
        <f>_xlfn.DAYS(Table2[[#This Row],[Date Ended Conversion]],Table2[[#This Row],[Date Created Conversion]])+1</f>
        <v>1</v>
      </c>
      <c r="Q227" t="b">
        <v>1</v>
      </c>
      <c r="R227" t="b">
        <v>0</v>
      </c>
      <c r="S227" t="s">
        <v>23</v>
      </c>
      <c r="T227" t="str">
        <f>_xlfn.TEXTBEFORE(Table2[[#This Row],[category &amp; sub-category]],"/")</f>
        <v>music</v>
      </c>
      <c r="U227" t="str">
        <f>_xlfn.TEXTAFTER(Table2[[#This Row],[category &amp; sub-category]],"/")</f>
        <v>rock</v>
      </c>
    </row>
    <row r="228" spans="1:21" ht="17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5">
        <f>100*Table2[[#This Row],[pledged]]/Table2[[#This Row],[goal]]</f>
        <v>366.63333333333333</v>
      </c>
      <c r="G228" t="s">
        <v>20</v>
      </c>
      <c r="H228">
        <v>112</v>
      </c>
      <c r="I228" s="4">
        <f>IF(Table2[[#This Row],[pledged]]&gt;0,Table2[[#This Row],[pledged]]/Table2[[#This Row],[backers_count]],0)</f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8">
        <f t="shared" si="6"/>
        <v>40276.208333333336</v>
      </c>
      <c r="O228" s="8">
        <f t="shared" si="7"/>
        <v>40313.208333333336</v>
      </c>
      <c r="P228" s="5">
        <f>_xlfn.DAYS(Table2[[#This Row],[Date Ended Conversion]],Table2[[#This Row],[Date Created Conversion]])+1</f>
        <v>38</v>
      </c>
      <c r="Q228" t="b">
        <v>0</v>
      </c>
      <c r="R228" t="b">
        <v>0</v>
      </c>
      <c r="S228" t="s">
        <v>122</v>
      </c>
      <c r="T228" t="str">
        <f>_xlfn.TEXTBEFORE(Table2[[#This Row],[category &amp; sub-category]],"/")</f>
        <v>photography</v>
      </c>
      <c r="U228" t="str">
        <f>_xlfn.TEXTAFTER(Table2[[#This Row],[category &amp; sub-category]],"/")</f>
        <v>photography books</v>
      </c>
    </row>
    <row r="229" spans="1:21" ht="17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5">
        <f>100*Table2[[#This Row],[pledged]]/Table2[[#This Row],[goal]]</f>
        <v>168.72085385878489</v>
      </c>
      <c r="G229" t="s">
        <v>20</v>
      </c>
      <c r="H229">
        <v>943</v>
      </c>
      <c r="I229" s="4">
        <f>IF(Table2[[#This Row],[pledged]]&gt;0,Table2[[#This Row],[pledged]]/Table2[[#This Row],[backers_count]],0)</f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8">
        <f t="shared" si="6"/>
        <v>42139.208333333328</v>
      </c>
      <c r="O229" s="8">
        <f t="shared" si="7"/>
        <v>42145.208333333328</v>
      </c>
      <c r="P229" s="5">
        <f>_xlfn.DAYS(Table2[[#This Row],[Date Ended Conversion]],Table2[[#This Row],[Date Created Conversion]])+1</f>
        <v>7</v>
      </c>
      <c r="Q229" t="b">
        <v>0</v>
      </c>
      <c r="R229" t="b">
        <v>0</v>
      </c>
      <c r="S229" t="s">
        <v>292</v>
      </c>
      <c r="T229" t="str">
        <f>_xlfn.TEXTBEFORE(Table2[[#This Row],[category &amp; sub-category]],"/")</f>
        <v>games</v>
      </c>
      <c r="U229" t="str">
        <f>_xlfn.TEXTAFTER(Table2[[#This Row],[category &amp; sub-category]],"/")</f>
        <v>mobile games</v>
      </c>
    </row>
    <row r="230" spans="1:21" ht="17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5">
        <f>100*Table2[[#This Row],[pledged]]/Table2[[#This Row],[goal]]</f>
        <v>119.90717911530095</v>
      </c>
      <c r="G230" t="s">
        <v>20</v>
      </c>
      <c r="H230">
        <v>2468</v>
      </c>
      <c r="I230" s="4">
        <f>IF(Table2[[#This Row],[pledged]]&gt;0,Table2[[#This Row],[pledged]]/Table2[[#This Row],[backers_count]],0)</f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8">
        <f t="shared" si="6"/>
        <v>42613.208333333328</v>
      </c>
      <c r="O230" s="8">
        <f t="shared" si="7"/>
        <v>42638.208333333328</v>
      </c>
      <c r="P230" s="5">
        <f>_xlfn.DAYS(Table2[[#This Row],[Date Ended Conversion]],Table2[[#This Row],[Date Created Conversion]])+1</f>
        <v>26</v>
      </c>
      <c r="Q230" t="b">
        <v>0</v>
      </c>
      <c r="R230" t="b">
        <v>0</v>
      </c>
      <c r="S230" t="s">
        <v>71</v>
      </c>
      <c r="T230" t="str">
        <f>_xlfn.TEXTBEFORE(Table2[[#This Row],[category &amp; sub-category]],"/")</f>
        <v>film &amp; video</v>
      </c>
      <c r="U230" t="str">
        <f>_xlfn.TEXTAFTER(Table2[[#This Row],[category &amp; sub-category]],"/")</f>
        <v>animation</v>
      </c>
    </row>
    <row r="231" spans="1:21" ht="17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5">
        <f>100*Table2[[#This Row],[pledged]]/Table2[[#This Row],[goal]]</f>
        <v>193.68925233644859</v>
      </c>
      <c r="G231" t="s">
        <v>20</v>
      </c>
      <c r="H231">
        <v>2551</v>
      </c>
      <c r="I231" s="4">
        <f>IF(Table2[[#This Row],[pledged]]&gt;0,Table2[[#This Row],[pledged]]/Table2[[#This Row],[backers_count]],0)</f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8">
        <f t="shared" si="6"/>
        <v>42887.208333333328</v>
      </c>
      <c r="O231" s="8">
        <f t="shared" si="7"/>
        <v>42935.208333333328</v>
      </c>
      <c r="P231" s="5">
        <f>_xlfn.DAYS(Table2[[#This Row],[Date Ended Conversion]],Table2[[#This Row],[Date Created Conversion]])+1</f>
        <v>49</v>
      </c>
      <c r="Q231" t="b">
        <v>0</v>
      </c>
      <c r="R231" t="b">
        <v>1</v>
      </c>
      <c r="S231" t="s">
        <v>292</v>
      </c>
      <c r="T231" t="str">
        <f>_xlfn.TEXTBEFORE(Table2[[#This Row],[category &amp; sub-category]],"/")</f>
        <v>games</v>
      </c>
      <c r="U231" t="str">
        <f>_xlfn.TEXTAFTER(Table2[[#This Row],[category &amp; sub-category]],"/")</f>
        <v>mobile games</v>
      </c>
    </row>
    <row r="232" spans="1:21" ht="17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5">
        <f>100*Table2[[#This Row],[pledged]]/Table2[[#This Row],[goal]]</f>
        <v>420.16666666666669</v>
      </c>
      <c r="G232" t="s">
        <v>20</v>
      </c>
      <c r="H232">
        <v>101</v>
      </c>
      <c r="I232" s="4">
        <f>IF(Table2[[#This Row],[pledged]]&gt;0,Table2[[#This Row],[pledged]]/Table2[[#This Row],[backers_count]],0)</f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8">
        <f t="shared" si="6"/>
        <v>43805.25</v>
      </c>
      <c r="O232" s="8">
        <f t="shared" si="7"/>
        <v>43805.25</v>
      </c>
      <c r="P232" s="5">
        <f>_xlfn.DAYS(Table2[[#This Row],[Date Ended Conversion]],Table2[[#This Row],[Date Created Conversion]])+1</f>
        <v>1</v>
      </c>
      <c r="Q232" t="b">
        <v>0</v>
      </c>
      <c r="R232" t="b">
        <v>0</v>
      </c>
      <c r="S232" t="s">
        <v>89</v>
      </c>
      <c r="T232" t="str">
        <f>_xlfn.TEXTBEFORE(Table2[[#This Row],[category &amp; sub-category]],"/")</f>
        <v>games</v>
      </c>
      <c r="U232" t="str">
        <f>_xlfn.TEXTAFTER(Table2[[#This Row],[category &amp; sub-category]],"/")</f>
        <v>video games</v>
      </c>
    </row>
    <row r="233" spans="1:21" ht="17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5">
        <f>100*Table2[[#This Row],[pledged]]/Table2[[#This Row],[goal]]</f>
        <v>76.708333333333329</v>
      </c>
      <c r="G233" t="s">
        <v>74</v>
      </c>
      <c r="H233">
        <v>67</v>
      </c>
      <c r="I233" s="4">
        <f>IF(Table2[[#This Row],[pledged]]&gt;0,Table2[[#This Row],[pledged]]/Table2[[#This Row],[backers_count]],0)</f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8">
        <f t="shared" si="6"/>
        <v>41415.208333333336</v>
      </c>
      <c r="O233" s="8">
        <f t="shared" si="7"/>
        <v>41473.208333333336</v>
      </c>
      <c r="P233" s="5">
        <f>_xlfn.DAYS(Table2[[#This Row],[Date Ended Conversion]],Table2[[#This Row],[Date Created Conversion]])+1</f>
        <v>59</v>
      </c>
      <c r="Q233" t="b">
        <v>0</v>
      </c>
      <c r="R233" t="b">
        <v>0</v>
      </c>
      <c r="S233" t="s">
        <v>33</v>
      </c>
      <c r="T233" t="str">
        <f>_xlfn.TEXTBEFORE(Table2[[#This Row],[category &amp; sub-category]],"/")</f>
        <v>theater</v>
      </c>
      <c r="U233" t="str">
        <f>_xlfn.TEXTAFTER(Table2[[#This Row],[category &amp; sub-category]],"/")</f>
        <v>plays</v>
      </c>
    </row>
    <row r="234" spans="1:21" ht="17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5">
        <f>100*Table2[[#This Row],[pledged]]/Table2[[#This Row],[goal]]</f>
        <v>171.26470588235293</v>
      </c>
      <c r="G234" t="s">
        <v>20</v>
      </c>
      <c r="H234">
        <v>92</v>
      </c>
      <c r="I234" s="4">
        <f>IF(Table2[[#This Row],[pledged]]&gt;0,Table2[[#This Row],[pledged]]/Table2[[#This Row],[backers_count]],0)</f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8">
        <f t="shared" si="6"/>
        <v>42576.208333333328</v>
      </c>
      <c r="O234" s="8">
        <f t="shared" si="7"/>
        <v>42577.208333333328</v>
      </c>
      <c r="P234" s="5">
        <f>_xlfn.DAYS(Table2[[#This Row],[Date Ended Conversion]],Table2[[#This Row],[Date Created Conversion]])+1</f>
        <v>2</v>
      </c>
      <c r="Q234" t="b">
        <v>0</v>
      </c>
      <c r="R234" t="b">
        <v>0</v>
      </c>
      <c r="S234" t="s">
        <v>33</v>
      </c>
      <c r="T234" t="str">
        <f>_xlfn.TEXTBEFORE(Table2[[#This Row],[category &amp; sub-category]],"/")</f>
        <v>theater</v>
      </c>
      <c r="U234" t="str">
        <f>_xlfn.TEXTAFTER(Table2[[#This Row],[category &amp; sub-category]],"/")</f>
        <v>plays</v>
      </c>
    </row>
    <row r="235" spans="1:21" ht="17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5">
        <f>100*Table2[[#This Row],[pledged]]/Table2[[#This Row],[goal]]</f>
        <v>157.89473684210526</v>
      </c>
      <c r="G235" t="s">
        <v>20</v>
      </c>
      <c r="H235">
        <v>62</v>
      </c>
      <c r="I235" s="4">
        <f>IF(Table2[[#This Row],[pledged]]&gt;0,Table2[[#This Row],[pledged]]/Table2[[#This Row],[backers_count]],0)</f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8">
        <f t="shared" si="6"/>
        <v>40706.208333333336</v>
      </c>
      <c r="O235" s="8">
        <f t="shared" si="7"/>
        <v>40722.208333333336</v>
      </c>
      <c r="P235" s="5">
        <f>_xlfn.DAYS(Table2[[#This Row],[Date Ended Conversion]],Table2[[#This Row],[Date Created Conversion]])+1</f>
        <v>17</v>
      </c>
      <c r="Q235" t="b">
        <v>0</v>
      </c>
      <c r="R235" t="b">
        <v>0</v>
      </c>
      <c r="S235" t="s">
        <v>71</v>
      </c>
      <c r="T235" t="str">
        <f>_xlfn.TEXTBEFORE(Table2[[#This Row],[category &amp; sub-category]],"/")</f>
        <v>film &amp; video</v>
      </c>
      <c r="U235" t="str">
        <f>_xlfn.TEXTAFTER(Table2[[#This Row],[category &amp; sub-category]],"/")</f>
        <v>animation</v>
      </c>
    </row>
    <row r="236" spans="1:21" ht="17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5">
        <f>100*Table2[[#This Row],[pledged]]/Table2[[#This Row],[goal]]</f>
        <v>109.08</v>
      </c>
      <c r="G236" t="s">
        <v>20</v>
      </c>
      <c r="H236">
        <v>149</v>
      </c>
      <c r="I236" s="4">
        <f>IF(Table2[[#This Row],[pledged]]&gt;0,Table2[[#This Row],[pledged]]/Table2[[#This Row],[backers_count]],0)</f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8">
        <f t="shared" si="6"/>
        <v>42969.208333333328</v>
      </c>
      <c r="O236" s="8">
        <f t="shared" si="7"/>
        <v>42976.208333333328</v>
      </c>
      <c r="P236" s="5">
        <f>_xlfn.DAYS(Table2[[#This Row],[Date Ended Conversion]],Table2[[#This Row],[Date Created Conversion]])+1</f>
        <v>8</v>
      </c>
      <c r="Q236" t="b">
        <v>0</v>
      </c>
      <c r="R236" t="b">
        <v>1</v>
      </c>
      <c r="S236" t="s">
        <v>89</v>
      </c>
      <c r="T236" t="str">
        <f>_xlfn.TEXTBEFORE(Table2[[#This Row],[category &amp; sub-category]],"/")</f>
        <v>games</v>
      </c>
      <c r="U236" t="str">
        <f>_xlfn.TEXTAFTER(Table2[[#This Row],[category &amp; sub-category]],"/")</f>
        <v>video games</v>
      </c>
    </row>
    <row r="237" spans="1:21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5">
        <f>100*Table2[[#This Row],[pledged]]/Table2[[#This Row],[goal]]</f>
        <v>41.732558139534881</v>
      </c>
      <c r="G237" t="s">
        <v>14</v>
      </c>
      <c r="H237">
        <v>92</v>
      </c>
      <c r="I237" s="4">
        <f>IF(Table2[[#This Row],[pledged]]&gt;0,Table2[[#This Row],[pledged]]/Table2[[#This Row],[backers_count]],0)</f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8">
        <f t="shared" si="6"/>
        <v>42779.25</v>
      </c>
      <c r="O237" s="8">
        <f t="shared" si="7"/>
        <v>42784.25</v>
      </c>
      <c r="P237" s="5">
        <f>_xlfn.DAYS(Table2[[#This Row],[Date Ended Conversion]],Table2[[#This Row],[Date Created Conversion]])+1</f>
        <v>6</v>
      </c>
      <c r="Q237" t="b">
        <v>0</v>
      </c>
      <c r="R237" t="b">
        <v>0</v>
      </c>
      <c r="S237" t="s">
        <v>71</v>
      </c>
      <c r="T237" t="str">
        <f>_xlfn.TEXTBEFORE(Table2[[#This Row],[category &amp; sub-category]],"/")</f>
        <v>film &amp; video</v>
      </c>
      <c r="U237" t="str">
        <f>_xlfn.TEXTAFTER(Table2[[#This Row],[category &amp; sub-category]],"/")</f>
        <v>animation</v>
      </c>
    </row>
    <row r="238" spans="1:21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5">
        <f>100*Table2[[#This Row],[pledged]]/Table2[[#This Row],[goal]]</f>
        <v>10.944303797468354</v>
      </c>
      <c r="G238" t="s">
        <v>14</v>
      </c>
      <c r="H238">
        <v>57</v>
      </c>
      <c r="I238" s="4">
        <f>IF(Table2[[#This Row],[pledged]]&gt;0,Table2[[#This Row],[pledged]]/Table2[[#This Row],[backers_count]],0)</f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8">
        <f t="shared" si="6"/>
        <v>43641.208333333328</v>
      </c>
      <c r="O238" s="8">
        <f t="shared" si="7"/>
        <v>43648.208333333328</v>
      </c>
      <c r="P238" s="5">
        <f>_xlfn.DAYS(Table2[[#This Row],[Date Ended Conversion]],Table2[[#This Row],[Date Created Conversion]])+1</f>
        <v>8</v>
      </c>
      <c r="Q238" t="b">
        <v>0</v>
      </c>
      <c r="R238" t="b">
        <v>1</v>
      </c>
      <c r="S238" t="s">
        <v>23</v>
      </c>
      <c r="T238" t="str">
        <f>_xlfn.TEXTBEFORE(Table2[[#This Row],[category &amp; sub-category]],"/")</f>
        <v>music</v>
      </c>
      <c r="U238" t="str">
        <f>_xlfn.TEXTAFTER(Table2[[#This Row],[category &amp; sub-category]],"/")</f>
        <v>rock</v>
      </c>
    </row>
    <row r="239" spans="1:21" ht="34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5">
        <f>100*Table2[[#This Row],[pledged]]/Table2[[#This Row],[goal]]</f>
        <v>159.3763440860215</v>
      </c>
      <c r="G239" t="s">
        <v>20</v>
      </c>
      <c r="H239">
        <v>329</v>
      </c>
      <c r="I239" s="4">
        <f>IF(Table2[[#This Row],[pledged]]&gt;0,Table2[[#This Row],[pledged]]/Table2[[#This Row],[backers_count]],0)</f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8">
        <f t="shared" si="6"/>
        <v>41754.208333333336</v>
      </c>
      <c r="O239" s="8">
        <f t="shared" si="7"/>
        <v>41756.208333333336</v>
      </c>
      <c r="P239" s="5">
        <f>_xlfn.DAYS(Table2[[#This Row],[Date Ended Conversion]],Table2[[#This Row],[Date Created Conversion]])+1</f>
        <v>3</v>
      </c>
      <c r="Q239" t="b">
        <v>0</v>
      </c>
      <c r="R239" t="b">
        <v>0</v>
      </c>
      <c r="S239" t="s">
        <v>71</v>
      </c>
      <c r="T239" t="str">
        <f>_xlfn.TEXTBEFORE(Table2[[#This Row],[category &amp; sub-category]],"/")</f>
        <v>film &amp; video</v>
      </c>
      <c r="U239" t="str">
        <f>_xlfn.TEXTAFTER(Table2[[#This Row],[category &amp; sub-category]],"/")</f>
        <v>animation</v>
      </c>
    </row>
    <row r="240" spans="1:21" ht="17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5">
        <f>100*Table2[[#This Row],[pledged]]/Table2[[#This Row],[goal]]</f>
        <v>422.41666666666669</v>
      </c>
      <c r="G240" t="s">
        <v>20</v>
      </c>
      <c r="H240">
        <v>97</v>
      </c>
      <c r="I240" s="4">
        <f>IF(Table2[[#This Row],[pledged]]&gt;0,Table2[[#This Row],[pledged]]/Table2[[#This Row],[backers_count]],0)</f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8">
        <f t="shared" si="6"/>
        <v>43083.25</v>
      </c>
      <c r="O240" s="8">
        <f t="shared" si="7"/>
        <v>43108.25</v>
      </c>
      <c r="P240" s="5">
        <f>_xlfn.DAYS(Table2[[#This Row],[Date Ended Conversion]],Table2[[#This Row],[Date Created Conversion]])+1</f>
        <v>26</v>
      </c>
      <c r="Q240" t="b">
        <v>0</v>
      </c>
      <c r="R240" t="b">
        <v>1</v>
      </c>
      <c r="S240" t="s">
        <v>33</v>
      </c>
      <c r="T240" t="str">
        <f>_xlfn.TEXTBEFORE(Table2[[#This Row],[category &amp; sub-category]],"/")</f>
        <v>theater</v>
      </c>
      <c r="U240" t="str">
        <f>_xlfn.TEXTAFTER(Table2[[#This Row],[category &amp; sub-category]],"/")</f>
        <v>plays</v>
      </c>
    </row>
    <row r="241" spans="1:21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5">
        <f>100*Table2[[#This Row],[pledged]]/Table2[[#This Row],[goal]]</f>
        <v>97.71875</v>
      </c>
      <c r="G241" t="s">
        <v>14</v>
      </c>
      <c r="H241">
        <v>41</v>
      </c>
      <c r="I241" s="4">
        <f>IF(Table2[[#This Row],[pledged]]&gt;0,Table2[[#This Row],[pledged]]/Table2[[#This Row],[backers_count]],0)</f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8">
        <f t="shared" si="6"/>
        <v>42245.208333333328</v>
      </c>
      <c r="O241" s="8">
        <f t="shared" si="7"/>
        <v>42249.208333333328</v>
      </c>
      <c r="P241" s="5">
        <f>_xlfn.DAYS(Table2[[#This Row],[Date Ended Conversion]],Table2[[#This Row],[Date Created Conversion]])+1</f>
        <v>5</v>
      </c>
      <c r="Q241" t="b">
        <v>0</v>
      </c>
      <c r="R241" t="b">
        <v>0</v>
      </c>
      <c r="S241" t="s">
        <v>65</v>
      </c>
      <c r="T241" t="str">
        <f>_xlfn.TEXTBEFORE(Table2[[#This Row],[category &amp; sub-category]],"/")</f>
        <v>technology</v>
      </c>
      <c r="U241" t="str">
        <f>_xlfn.TEXTAFTER(Table2[[#This Row],[category &amp; sub-category]],"/")</f>
        <v>wearables</v>
      </c>
    </row>
    <row r="242" spans="1:21" ht="17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5">
        <f>100*Table2[[#This Row],[pledged]]/Table2[[#This Row],[goal]]</f>
        <v>418.78911564625849</v>
      </c>
      <c r="G242" t="s">
        <v>20</v>
      </c>
      <c r="H242">
        <v>1784</v>
      </c>
      <c r="I242" s="4">
        <f>IF(Table2[[#This Row],[pledged]]&gt;0,Table2[[#This Row],[pledged]]/Table2[[#This Row],[backers_count]],0)</f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8">
        <f t="shared" si="6"/>
        <v>40396.208333333336</v>
      </c>
      <c r="O242" s="8">
        <f t="shared" si="7"/>
        <v>40397.208333333336</v>
      </c>
      <c r="P242" s="5">
        <f>_xlfn.DAYS(Table2[[#This Row],[Date Ended Conversion]],Table2[[#This Row],[Date Created Conversion]])+1</f>
        <v>2</v>
      </c>
      <c r="Q242" t="b">
        <v>0</v>
      </c>
      <c r="R242" t="b">
        <v>0</v>
      </c>
      <c r="S242" t="s">
        <v>33</v>
      </c>
      <c r="T242" t="str">
        <f>_xlfn.TEXTBEFORE(Table2[[#This Row],[category &amp; sub-category]],"/")</f>
        <v>theater</v>
      </c>
      <c r="U242" t="str">
        <f>_xlfn.TEXTAFTER(Table2[[#This Row],[category &amp; sub-category]],"/")</f>
        <v>plays</v>
      </c>
    </row>
    <row r="243" spans="1:21" ht="17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5">
        <f>100*Table2[[#This Row],[pledged]]/Table2[[#This Row],[goal]]</f>
        <v>101.91632047477745</v>
      </c>
      <c r="G243" t="s">
        <v>20</v>
      </c>
      <c r="H243">
        <v>1684</v>
      </c>
      <c r="I243" s="4">
        <f>IF(Table2[[#This Row],[pledged]]&gt;0,Table2[[#This Row],[pledged]]/Table2[[#This Row],[backers_count]],0)</f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8">
        <f t="shared" si="6"/>
        <v>41742.208333333336</v>
      </c>
      <c r="O243" s="8">
        <f t="shared" si="7"/>
        <v>41752.208333333336</v>
      </c>
      <c r="P243" s="5">
        <f>_xlfn.DAYS(Table2[[#This Row],[Date Ended Conversion]],Table2[[#This Row],[Date Created Conversion]])+1</f>
        <v>11</v>
      </c>
      <c r="Q243" t="b">
        <v>0</v>
      </c>
      <c r="R243" t="b">
        <v>1</v>
      </c>
      <c r="S243" t="s">
        <v>68</v>
      </c>
      <c r="T243" t="str">
        <f>_xlfn.TEXTBEFORE(Table2[[#This Row],[category &amp; sub-category]],"/")</f>
        <v>publishing</v>
      </c>
      <c r="U243" t="str">
        <f>_xlfn.TEXTAFTER(Table2[[#This Row],[category &amp; sub-category]],"/")</f>
        <v>nonfiction</v>
      </c>
    </row>
    <row r="244" spans="1:21" ht="17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5">
        <f>100*Table2[[#This Row],[pledged]]/Table2[[#This Row],[goal]]</f>
        <v>127.72619047619048</v>
      </c>
      <c r="G244" t="s">
        <v>20</v>
      </c>
      <c r="H244">
        <v>250</v>
      </c>
      <c r="I244" s="4">
        <f>IF(Table2[[#This Row],[pledged]]&gt;0,Table2[[#This Row],[pledged]]/Table2[[#This Row],[backers_count]],0)</f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8">
        <f t="shared" si="6"/>
        <v>42865.208333333328</v>
      </c>
      <c r="O244" s="8">
        <f t="shared" si="7"/>
        <v>42875.208333333328</v>
      </c>
      <c r="P244" s="5">
        <f>_xlfn.DAYS(Table2[[#This Row],[Date Ended Conversion]],Table2[[#This Row],[Date Created Conversion]])+1</f>
        <v>11</v>
      </c>
      <c r="Q244" t="b">
        <v>0</v>
      </c>
      <c r="R244" t="b">
        <v>1</v>
      </c>
      <c r="S244" t="s">
        <v>23</v>
      </c>
      <c r="T244" t="str">
        <f>_xlfn.TEXTBEFORE(Table2[[#This Row],[category &amp; sub-category]],"/")</f>
        <v>music</v>
      </c>
      <c r="U244" t="str">
        <f>_xlfn.TEXTAFTER(Table2[[#This Row],[category &amp; sub-category]],"/")</f>
        <v>rock</v>
      </c>
    </row>
    <row r="245" spans="1:21" ht="34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5">
        <f>100*Table2[[#This Row],[pledged]]/Table2[[#This Row],[goal]]</f>
        <v>445.21739130434781</v>
      </c>
      <c r="G245" t="s">
        <v>20</v>
      </c>
      <c r="H245">
        <v>238</v>
      </c>
      <c r="I245" s="4">
        <f>IF(Table2[[#This Row],[pledged]]&gt;0,Table2[[#This Row],[pledged]]/Table2[[#This Row],[backers_count]],0)</f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8">
        <f t="shared" si="6"/>
        <v>43163.25</v>
      </c>
      <c r="O245" s="8">
        <f t="shared" si="7"/>
        <v>43166.25</v>
      </c>
      <c r="P245" s="5">
        <f>_xlfn.DAYS(Table2[[#This Row],[Date Ended Conversion]],Table2[[#This Row],[Date Created Conversion]])+1</f>
        <v>4</v>
      </c>
      <c r="Q245" t="b">
        <v>0</v>
      </c>
      <c r="R245" t="b">
        <v>0</v>
      </c>
      <c r="S245" t="s">
        <v>33</v>
      </c>
      <c r="T245" t="str">
        <f>_xlfn.TEXTBEFORE(Table2[[#This Row],[category &amp; sub-category]],"/")</f>
        <v>theater</v>
      </c>
      <c r="U245" t="str">
        <f>_xlfn.TEXTAFTER(Table2[[#This Row],[category &amp; sub-category]],"/")</f>
        <v>plays</v>
      </c>
    </row>
    <row r="246" spans="1:21" ht="34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5">
        <f>100*Table2[[#This Row],[pledged]]/Table2[[#This Row],[goal]]</f>
        <v>569.71428571428567</v>
      </c>
      <c r="G246" t="s">
        <v>20</v>
      </c>
      <c r="H246">
        <v>53</v>
      </c>
      <c r="I246" s="4">
        <f>IF(Table2[[#This Row],[pledged]]&gt;0,Table2[[#This Row],[pledged]]/Table2[[#This Row],[backers_count]],0)</f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8">
        <f t="shared" si="6"/>
        <v>41834.208333333336</v>
      </c>
      <c r="O246" s="8">
        <f t="shared" si="7"/>
        <v>41886.208333333336</v>
      </c>
      <c r="P246" s="5">
        <f>_xlfn.DAYS(Table2[[#This Row],[Date Ended Conversion]],Table2[[#This Row],[Date Created Conversion]])+1</f>
        <v>53</v>
      </c>
      <c r="Q246" t="b">
        <v>0</v>
      </c>
      <c r="R246" t="b">
        <v>0</v>
      </c>
      <c r="S246" t="s">
        <v>33</v>
      </c>
      <c r="T246" t="str">
        <f>_xlfn.TEXTBEFORE(Table2[[#This Row],[category &amp; sub-category]],"/")</f>
        <v>theater</v>
      </c>
      <c r="U246" t="str">
        <f>_xlfn.TEXTAFTER(Table2[[#This Row],[category &amp; sub-category]],"/")</f>
        <v>plays</v>
      </c>
    </row>
    <row r="247" spans="1:21" ht="17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5">
        <f>100*Table2[[#This Row],[pledged]]/Table2[[#This Row],[goal]]</f>
        <v>509.34482758620692</v>
      </c>
      <c r="G247" t="s">
        <v>20</v>
      </c>
      <c r="H247">
        <v>214</v>
      </c>
      <c r="I247" s="4">
        <f>IF(Table2[[#This Row],[pledged]]&gt;0,Table2[[#This Row],[pledged]]/Table2[[#This Row],[backers_count]],0)</f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8">
        <f t="shared" si="6"/>
        <v>41736.208333333336</v>
      </c>
      <c r="O247" s="8">
        <f t="shared" si="7"/>
        <v>41737.208333333336</v>
      </c>
      <c r="P247" s="5">
        <f>_xlfn.DAYS(Table2[[#This Row],[Date Ended Conversion]],Table2[[#This Row],[Date Created Conversion]])+1</f>
        <v>2</v>
      </c>
      <c r="Q247" t="b">
        <v>0</v>
      </c>
      <c r="R247" t="b">
        <v>0</v>
      </c>
      <c r="S247" t="s">
        <v>33</v>
      </c>
      <c r="T247" t="str">
        <f>_xlfn.TEXTBEFORE(Table2[[#This Row],[category &amp; sub-category]],"/")</f>
        <v>theater</v>
      </c>
      <c r="U247" t="str">
        <f>_xlfn.TEXTAFTER(Table2[[#This Row],[category &amp; sub-category]],"/")</f>
        <v>plays</v>
      </c>
    </row>
    <row r="248" spans="1:21" ht="17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5">
        <f>100*Table2[[#This Row],[pledged]]/Table2[[#This Row],[goal]]</f>
        <v>325.53333333333336</v>
      </c>
      <c r="G248" t="s">
        <v>20</v>
      </c>
      <c r="H248">
        <v>222</v>
      </c>
      <c r="I248" s="4">
        <f>IF(Table2[[#This Row],[pledged]]&gt;0,Table2[[#This Row],[pledged]]/Table2[[#This Row],[backers_count]],0)</f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8">
        <f t="shared" si="6"/>
        <v>41491.208333333336</v>
      </c>
      <c r="O248" s="8">
        <f t="shared" si="7"/>
        <v>41495.208333333336</v>
      </c>
      <c r="P248" s="5">
        <f>_xlfn.DAYS(Table2[[#This Row],[Date Ended Conversion]],Table2[[#This Row],[Date Created Conversion]])+1</f>
        <v>5</v>
      </c>
      <c r="Q248" t="b">
        <v>0</v>
      </c>
      <c r="R248" t="b">
        <v>0</v>
      </c>
      <c r="S248" t="s">
        <v>28</v>
      </c>
      <c r="T248" t="str">
        <f>_xlfn.TEXTBEFORE(Table2[[#This Row],[category &amp; sub-category]],"/")</f>
        <v>technology</v>
      </c>
      <c r="U248" t="str">
        <f>_xlfn.TEXTAFTER(Table2[[#This Row],[category &amp; sub-category]],"/")</f>
        <v>web</v>
      </c>
    </row>
    <row r="249" spans="1:21" ht="17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5">
        <f>100*Table2[[#This Row],[pledged]]/Table2[[#This Row],[goal]]</f>
        <v>932.61616161616166</v>
      </c>
      <c r="G249" t="s">
        <v>20</v>
      </c>
      <c r="H249">
        <v>1884</v>
      </c>
      <c r="I249" s="4">
        <f>IF(Table2[[#This Row],[pledged]]&gt;0,Table2[[#This Row],[pledged]]/Table2[[#This Row],[backers_count]],0)</f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8">
        <f t="shared" si="6"/>
        <v>42726.25</v>
      </c>
      <c r="O249" s="8">
        <f t="shared" si="7"/>
        <v>42741.25</v>
      </c>
      <c r="P249" s="5">
        <f>_xlfn.DAYS(Table2[[#This Row],[Date Ended Conversion]],Table2[[#This Row],[Date Created Conversion]])+1</f>
        <v>16</v>
      </c>
      <c r="Q249" t="b">
        <v>0</v>
      </c>
      <c r="R249" t="b">
        <v>1</v>
      </c>
      <c r="S249" t="s">
        <v>119</v>
      </c>
      <c r="T249" t="str">
        <f>_xlfn.TEXTBEFORE(Table2[[#This Row],[category &amp; sub-category]],"/")</f>
        <v>publishing</v>
      </c>
      <c r="U249" t="str">
        <f>_xlfn.TEXTAFTER(Table2[[#This Row],[category &amp; sub-category]],"/")</f>
        <v>fiction</v>
      </c>
    </row>
    <row r="250" spans="1:21" ht="17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5">
        <f>100*Table2[[#This Row],[pledged]]/Table2[[#This Row],[goal]]</f>
        <v>211.33870967741936</v>
      </c>
      <c r="G250" t="s">
        <v>20</v>
      </c>
      <c r="H250">
        <v>218</v>
      </c>
      <c r="I250" s="4">
        <f>IF(Table2[[#This Row],[pledged]]&gt;0,Table2[[#This Row],[pledged]]/Table2[[#This Row],[backers_count]],0)</f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8">
        <f t="shared" si="6"/>
        <v>42004.25</v>
      </c>
      <c r="O250" s="8">
        <f t="shared" si="7"/>
        <v>42009.25</v>
      </c>
      <c r="P250" s="5">
        <f>_xlfn.DAYS(Table2[[#This Row],[Date Ended Conversion]],Table2[[#This Row],[Date Created Conversion]])+1</f>
        <v>6</v>
      </c>
      <c r="Q250" t="b">
        <v>0</v>
      </c>
      <c r="R250" t="b">
        <v>0</v>
      </c>
      <c r="S250" t="s">
        <v>292</v>
      </c>
      <c r="T250" t="str">
        <f>_xlfn.TEXTBEFORE(Table2[[#This Row],[category &amp; sub-category]],"/")</f>
        <v>games</v>
      </c>
      <c r="U250" t="str">
        <f>_xlfn.TEXTAFTER(Table2[[#This Row],[category &amp; sub-category]],"/")</f>
        <v>mobile games</v>
      </c>
    </row>
    <row r="251" spans="1:21" ht="17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5">
        <f>100*Table2[[#This Row],[pledged]]/Table2[[#This Row],[goal]]</f>
        <v>273.32520325203251</v>
      </c>
      <c r="G251" t="s">
        <v>20</v>
      </c>
      <c r="H251">
        <v>6465</v>
      </c>
      <c r="I251" s="4">
        <f>IF(Table2[[#This Row],[pledged]]&gt;0,Table2[[#This Row],[pledged]]/Table2[[#This Row],[backers_count]],0)</f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8">
        <f t="shared" si="6"/>
        <v>42006.25</v>
      </c>
      <c r="O251" s="8">
        <f t="shared" si="7"/>
        <v>42013.25</v>
      </c>
      <c r="P251" s="5">
        <f>_xlfn.DAYS(Table2[[#This Row],[Date Ended Conversion]],Table2[[#This Row],[Date Created Conversion]])+1</f>
        <v>8</v>
      </c>
      <c r="Q251" t="b">
        <v>0</v>
      </c>
      <c r="R251" t="b">
        <v>0</v>
      </c>
      <c r="S251" t="s">
        <v>206</v>
      </c>
      <c r="T251" t="str">
        <f>_xlfn.TEXTBEFORE(Table2[[#This Row],[category &amp; sub-category]],"/")</f>
        <v>publishing</v>
      </c>
      <c r="U251" t="str">
        <f>_xlfn.TEXTAFTER(Table2[[#This Row],[category &amp; sub-category]],"/")</f>
        <v>translations</v>
      </c>
    </row>
    <row r="252" spans="1:21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5">
        <f>100*Table2[[#This Row],[pledged]]/Table2[[#This Row],[goal]]</f>
        <v>3</v>
      </c>
      <c r="G252" t="s">
        <v>14</v>
      </c>
      <c r="H252">
        <v>1</v>
      </c>
      <c r="I252" s="4">
        <f>IF(Table2[[#This Row],[pledged]]&gt;0,Table2[[#This Row],[pledged]]/Table2[[#This Row],[backers_count]],0)</f>
        <v>3</v>
      </c>
      <c r="J252" t="s">
        <v>21</v>
      </c>
      <c r="K252" t="s">
        <v>22</v>
      </c>
      <c r="L252">
        <v>1264399200</v>
      </c>
      <c r="M252">
        <v>1267423200</v>
      </c>
      <c r="N252" s="8">
        <f t="shared" si="6"/>
        <v>40203.25</v>
      </c>
      <c r="O252" s="8">
        <f t="shared" si="7"/>
        <v>40238.25</v>
      </c>
      <c r="P252" s="5">
        <f>_xlfn.DAYS(Table2[[#This Row],[Date Ended Conversion]],Table2[[#This Row],[Date Created Conversion]])+1</f>
        <v>36</v>
      </c>
      <c r="Q252" t="b">
        <v>0</v>
      </c>
      <c r="R252" t="b">
        <v>0</v>
      </c>
      <c r="S252" t="s">
        <v>23</v>
      </c>
      <c r="T252" t="str">
        <f>_xlfn.TEXTBEFORE(Table2[[#This Row],[category &amp; sub-category]],"/")</f>
        <v>music</v>
      </c>
      <c r="U252" t="str">
        <f>_xlfn.TEXTAFTER(Table2[[#This Row],[category &amp; sub-category]],"/")</f>
        <v>rock</v>
      </c>
    </row>
    <row r="253" spans="1:21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5">
        <f>100*Table2[[#This Row],[pledged]]/Table2[[#This Row],[goal]]</f>
        <v>54.08450704225352</v>
      </c>
      <c r="G253" t="s">
        <v>14</v>
      </c>
      <c r="H253">
        <v>101</v>
      </c>
      <c r="I253" s="4">
        <f>IF(Table2[[#This Row],[pledged]]&gt;0,Table2[[#This Row],[pledged]]/Table2[[#This Row],[backers_count]],0)</f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8">
        <f t="shared" si="6"/>
        <v>41252.25</v>
      </c>
      <c r="O253" s="8">
        <f t="shared" si="7"/>
        <v>41254.25</v>
      </c>
      <c r="P253" s="5">
        <f>_xlfn.DAYS(Table2[[#This Row],[Date Ended Conversion]],Table2[[#This Row],[Date Created Conversion]])+1</f>
        <v>3</v>
      </c>
      <c r="Q253" t="b">
        <v>0</v>
      </c>
      <c r="R253" t="b">
        <v>0</v>
      </c>
      <c r="S253" t="s">
        <v>33</v>
      </c>
      <c r="T253" t="str">
        <f>_xlfn.TEXTBEFORE(Table2[[#This Row],[category &amp; sub-category]],"/")</f>
        <v>theater</v>
      </c>
      <c r="U253" t="str">
        <f>_xlfn.TEXTAFTER(Table2[[#This Row],[category &amp; sub-category]],"/")</f>
        <v>plays</v>
      </c>
    </row>
    <row r="254" spans="1:21" ht="34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5">
        <f>100*Table2[[#This Row],[pledged]]/Table2[[#This Row],[goal]]</f>
        <v>626.29999999999995</v>
      </c>
      <c r="G254" t="s">
        <v>20</v>
      </c>
      <c r="H254">
        <v>59</v>
      </c>
      <c r="I254" s="4">
        <f>IF(Table2[[#This Row],[pledged]]&gt;0,Table2[[#This Row],[pledged]]/Table2[[#This Row],[backers_count]],0)</f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8">
        <f t="shared" si="6"/>
        <v>41572.208333333336</v>
      </c>
      <c r="O254" s="8">
        <f t="shared" si="7"/>
        <v>41577.208333333336</v>
      </c>
      <c r="P254" s="5">
        <f>_xlfn.DAYS(Table2[[#This Row],[Date Ended Conversion]],Table2[[#This Row],[Date Created Conversion]])+1</f>
        <v>6</v>
      </c>
      <c r="Q254" t="b">
        <v>0</v>
      </c>
      <c r="R254" t="b">
        <v>0</v>
      </c>
      <c r="S254" t="s">
        <v>33</v>
      </c>
      <c r="T254" t="str">
        <f>_xlfn.TEXTBEFORE(Table2[[#This Row],[category &amp; sub-category]],"/")</f>
        <v>theater</v>
      </c>
      <c r="U254" t="str">
        <f>_xlfn.TEXTAFTER(Table2[[#This Row],[category &amp; sub-category]],"/")</f>
        <v>plays</v>
      </c>
    </row>
    <row r="255" spans="1:21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5">
        <f>100*Table2[[#This Row],[pledged]]/Table2[[#This Row],[goal]]</f>
        <v>89.021399176954731</v>
      </c>
      <c r="G255" t="s">
        <v>14</v>
      </c>
      <c r="H255">
        <v>1335</v>
      </c>
      <c r="I255" s="4">
        <f>IF(Table2[[#This Row],[pledged]]&gt;0,Table2[[#This Row],[pledged]]/Table2[[#This Row],[backers_count]],0)</f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8">
        <f t="shared" si="6"/>
        <v>40641.208333333336</v>
      </c>
      <c r="O255" s="8">
        <f t="shared" si="7"/>
        <v>40653.208333333336</v>
      </c>
      <c r="P255" s="5">
        <f>_xlfn.DAYS(Table2[[#This Row],[Date Ended Conversion]],Table2[[#This Row],[Date Created Conversion]])+1</f>
        <v>13</v>
      </c>
      <c r="Q255" t="b">
        <v>0</v>
      </c>
      <c r="R255" t="b">
        <v>0</v>
      </c>
      <c r="S255" t="s">
        <v>53</v>
      </c>
      <c r="T255" t="str">
        <f>_xlfn.TEXTBEFORE(Table2[[#This Row],[category &amp; sub-category]],"/")</f>
        <v>film &amp; video</v>
      </c>
      <c r="U255" t="str">
        <f>_xlfn.TEXTAFTER(Table2[[#This Row],[category &amp; sub-category]],"/")</f>
        <v>drama</v>
      </c>
    </row>
    <row r="256" spans="1:21" ht="34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5">
        <f>100*Table2[[#This Row],[pledged]]/Table2[[#This Row],[goal]]</f>
        <v>184.89130434782609</v>
      </c>
      <c r="G256" t="s">
        <v>20</v>
      </c>
      <c r="H256">
        <v>88</v>
      </c>
      <c r="I256" s="4">
        <f>IF(Table2[[#This Row],[pledged]]&gt;0,Table2[[#This Row],[pledged]]/Table2[[#This Row],[backers_count]],0)</f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8">
        <f t="shared" si="6"/>
        <v>42787.25</v>
      </c>
      <c r="O256" s="8">
        <f t="shared" si="7"/>
        <v>42789.25</v>
      </c>
      <c r="P256" s="5">
        <f>_xlfn.DAYS(Table2[[#This Row],[Date Ended Conversion]],Table2[[#This Row],[Date Created Conversion]])+1</f>
        <v>3</v>
      </c>
      <c r="Q256" t="b">
        <v>0</v>
      </c>
      <c r="R256" t="b">
        <v>0</v>
      </c>
      <c r="S256" t="s">
        <v>68</v>
      </c>
      <c r="T256" t="str">
        <f>_xlfn.TEXTBEFORE(Table2[[#This Row],[category &amp; sub-category]],"/")</f>
        <v>publishing</v>
      </c>
      <c r="U256" t="str">
        <f>_xlfn.TEXTAFTER(Table2[[#This Row],[category &amp; sub-category]],"/")</f>
        <v>nonfiction</v>
      </c>
    </row>
    <row r="257" spans="1:21" ht="34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5">
        <f>100*Table2[[#This Row],[pledged]]/Table2[[#This Row],[goal]]</f>
        <v>120.16770186335404</v>
      </c>
      <c r="G257" t="s">
        <v>20</v>
      </c>
      <c r="H257">
        <v>1697</v>
      </c>
      <c r="I257" s="4">
        <f>IF(Table2[[#This Row],[pledged]]&gt;0,Table2[[#This Row],[pledged]]/Table2[[#This Row],[backers_count]],0)</f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8">
        <f t="shared" si="6"/>
        <v>40590.25</v>
      </c>
      <c r="O257" s="8">
        <f t="shared" si="7"/>
        <v>40595.25</v>
      </c>
      <c r="P257" s="5">
        <f>_xlfn.DAYS(Table2[[#This Row],[Date Ended Conversion]],Table2[[#This Row],[Date Created Conversion]])+1</f>
        <v>6</v>
      </c>
      <c r="Q257" t="b">
        <v>0</v>
      </c>
      <c r="R257" t="b">
        <v>1</v>
      </c>
      <c r="S257" t="s">
        <v>23</v>
      </c>
      <c r="T257" t="str">
        <f>_xlfn.TEXTBEFORE(Table2[[#This Row],[category &amp; sub-category]],"/")</f>
        <v>music</v>
      </c>
      <c r="U257" t="str">
        <f>_xlfn.TEXTAFTER(Table2[[#This Row],[category &amp; sub-category]],"/")</f>
        <v>rock</v>
      </c>
    </row>
    <row r="258" spans="1:21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5">
        <f>100*Table2[[#This Row],[pledged]]/Table2[[#This Row],[goal]]</f>
        <v>23.390243902439025</v>
      </c>
      <c r="G258" t="s">
        <v>14</v>
      </c>
      <c r="H258">
        <v>15</v>
      </c>
      <c r="I258" s="4">
        <f>IF(Table2[[#This Row],[pledged]]&gt;0,Table2[[#This Row],[pledged]]/Table2[[#This Row],[backers_count]],0)</f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8">
        <f t="shared" ref="N258:N321" si="8">(((L258/60)/60)/24)+DATE(1970,1,1)</f>
        <v>42393.25</v>
      </c>
      <c r="O258" s="8">
        <f t="shared" ref="O258:O321" si="9">(((M258/60)/60)/24)+DATE(1970,1,1)</f>
        <v>42430.25</v>
      </c>
      <c r="P258" s="5">
        <f>_xlfn.DAYS(Table2[[#This Row],[Date Ended Conversion]],Table2[[#This Row],[Date Created Conversion]])+1</f>
        <v>38</v>
      </c>
      <c r="Q258" t="b">
        <v>0</v>
      </c>
      <c r="R258" t="b">
        <v>0</v>
      </c>
      <c r="S258" t="s">
        <v>23</v>
      </c>
      <c r="T258" t="str">
        <f>_xlfn.TEXTBEFORE(Table2[[#This Row],[category &amp; sub-category]],"/")</f>
        <v>music</v>
      </c>
      <c r="U258" t="str">
        <f>_xlfn.TEXTAFTER(Table2[[#This Row],[category &amp; sub-category]],"/")</f>
        <v>rock</v>
      </c>
    </row>
    <row r="259" spans="1:21" ht="17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5">
        <f>100*Table2[[#This Row],[pledged]]/Table2[[#This Row],[goal]]</f>
        <v>146</v>
      </c>
      <c r="G259" t="s">
        <v>20</v>
      </c>
      <c r="H259">
        <v>92</v>
      </c>
      <c r="I259" s="4">
        <f>IF(Table2[[#This Row],[pledged]]&gt;0,Table2[[#This Row],[pledged]]/Table2[[#This Row],[backers_count]],0)</f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8">
        <f t="shared" si="8"/>
        <v>41338.25</v>
      </c>
      <c r="O259" s="8">
        <f t="shared" si="9"/>
        <v>41352.208333333336</v>
      </c>
      <c r="P259" s="5">
        <f>_xlfn.DAYS(Table2[[#This Row],[Date Ended Conversion]],Table2[[#This Row],[Date Created Conversion]])+1</f>
        <v>15</v>
      </c>
      <c r="Q259" t="b">
        <v>0</v>
      </c>
      <c r="R259" t="b">
        <v>0</v>
      </c>
      <c r="S259" t="s">
        <v>33</v>
      </c>
      <c r="T259" t="str">
        <f>_xlfn.TEXTBEFORE(Table2[[#This Row],[category &amp; sub-category]],"/")</f>
        <v>theater</v>
      </c>
      <c r="U259" t="str">
        <f>_xlfn.TEXTAFTER(Table2[[#This Row],[category &amp; sub-category]],"/")</f>
        <v>plays</v>
      </c>
    </row>
    <row r="260" spans="1:21" ht="17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5">
        <f>100*Table2[[#This Row],[pledged]]/Table2[[#This Row],[goal]]</f>
        <v>268.48</v>
      </c>
      <c r="G260" t="s">
        <v>20</v>
      </c>
      <c r="H260">
        <v>186</v>
      </c>
      <c r="I260" s="4">
        <f>IF(Table2[[#This Row],[pledged]]&gt;0,Table2[[#This Row],[pledged]]/Table2[[#This Row],[backers_count]],0)</f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8">
        <f t="shared" si="8"/>
        <v>42712.25</v>
      </c>
      <c r="O260" s="8">
        <f t="shared" si="9"/>
        <v>42732.25</v>
      </c>
      <c r="P260" s="5">
        <f>_xlfn.DAYS(Table2[[#This Row],[Date Ended Conversion]],Table2[[#This Row],[Date Created Conversion]])+1</f>
        <v>21</v>
      </c>
      <c r="Q260" t="b">
        <v>0</v>
      </c>
      <c r="R260" t="b">
        <v>1</v>
      </c>
      <c r="S260" t="s">
        <v>33</v>
      </c>
      <c r="T260" t="str">
        <f>_xlfn.TEXTBEFORE(Table2[[#This Row],[category &amp; sub-category]],"/")</f>
        <v>theater</v>
      </c>
      <c r="U260" t="str">
        <f>_xlfn.TEXTAFTER(Table2[[#This Row],[category &amp; sub-category]],"/")</f>
        <v>plays</v>
      </c>
    </row>
    <row r="261" spans="1:21" ht="34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5">
        <f>100*Table2[[#This Row],[pledged]]/Table2[[#This Row],[goal]]</f>
        <v>597.5</v>
      </c>
      <c r="G261" t="s">
        <v>20</v>
      </c>
      <c r="H261">
        <v>138</v>
      </c>
      <c r="I261" s="4">
        <f>IF(Table2[[#This Row],[pledged]]&gt;0,Table2[[#This Row],[pledged]]/Table2[[#This Row],[backers_count]],0)</f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8">
        <f t="shared" si="8"/>
        <v>41251.25</v>
      </c>
      <c r="O261" s="8">
        <f t="shared" si="9"/>
        <v>41270.25</v>
      </c>
      <c r="P261" s="5">
        <f>_xlfn.DAYS(Table2[[#This Row],[Date Ended Conversion]],Table2[[#This Row],[Date Created Conversion]])+1</f>
        <v>20</v>
      </c>
      <c r="Q261" t="b">
        <v>1</v>
      </c>
      <c r="R261" t="b">
        <v>0</v>
      </c>
      <c r="S261" t="s">
        <v>122</v>
      </c>
      <c r="T261" t="str">
        <f>_xlfn.TEXTBEFORE(Table2[[#This Row],[category &amp; sub-category]],"/")</f>
        <v>photography</v>
      </c>
      <c r="U261" t="str">
        <f>_xlfn.TEXTAFTER(Table2[[#This Row],[category &amp; sub-category]],"/")</f>
        <v>photography books</v>
      </c>
    </row>
    <row r="262" spans="1:21" ht="17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5">
        <f>100*Table2[[#This Row],[pledged]]/Table2[[#This Row],[goal]]</f>
        <v>157.69841269841271</v>
      </c>
      <c r="G262" t="s">
        <v>20</v>
      </c>
      <c r="H262">
        <v>261</v>
      </c>
      <c r="I262" s="4">
        <f>IF(Table2[[#This Row],[pledged]]&gt;0,Table2[[#This Row],[pledged]]/Table2[[#This Row],[backers_count]],0)</f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8">
        <f t="shared" si="8"/>
        <v>41180.208333333336</v>
      </c>
      <c r="O262" s="8">
        <f t="shared" si="9"/>
        <v>41192.208333333336</v>
      </c>
      <c r="P262" s="5">
        <f>_xlfn.DAYS(Table2[[#This Row],[Date Ended Conversion]],Table2[[#This Row],[Date Created Conversion]])+1</f>
        <v>13</v>
      </c>
      <c r="Q262" t="b">
        <v>0</v>
      </c>
      <c r="R262" t="b">
        <v>0</v>
      </c>
      <c r="S262" t="s">
        <v>23</v>
      </c>
      <c r="T262" t="str">
        <f>_xlfn.TEXTBEFORE(Table2[[#This Row],[category &amp; sub-category]],"/")</f>
        <v>music</v>
      </c>
      <c r="U262" t="str">
        <f>_xlfn.TEXTAFTER(Table2[[#This Row],[category &amp; sub-category]],"/")</f>
        <v>rock</v>
      </c>
    </row>
    <row r="263" spans="1:21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5">
        <f>100*Table2[[#This Row],[pledged]]/Table2[[#This Row],[goal]]</f>
        <v>31.201660735468565</v>
      </c>
      <c r="G263" t="s">
        <v>14</v>
      </c>
      <c r="H263">
        <v>454</v>
      </c>
      <c r="I263" s="4">
        <f>IF(Table2[[#This Row],[pledged]]&gt;0,Table2[[#This Row],[pledged]]/Table2[[#This Row],[backers_count]],0)</f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8">
        <f t="shared" si="8"/>
        <v>40415.208333333336</v>
      </c>
      <c r="O263" s="8">
        <f t="shared" si="9"/>
        <v>40419.208333333336</v>
      </c>
      <c r="P263" s="5">
        <f>_xlfn.DAYS(Table2[[#This Row],[Date Ended Conversion]],Table2[[#This Row],[Date Created Conversion]])+1</f>
        <v>5</v>
      </c>
      <c r="Q263" t="b">
        <v>0</v>
      </c>
      <c r="R263" t="b">
        <v>1</v>
      </c>
      <c r="S263" t="s">
        <v>23</v>
      </c>
      <c r="T263" t="str">
        <f>_xlfn.TEXTBEFORE(Table2[[#This Row],[category &amp; sub-category]],"/")</f>
        <v>music</v>
      </c>
      <c r="U263" t="str">
        <f>_xlfn.TEXTAFTER(Table2[[#This Row],[category &amp; sub-category]],"/")</f>
        <v>rock</v>
      </c>
    </row>
    <row r="264" spans="1:21" ht="17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5">
        <f>100*Table2[[#This Row],[pledged]]/Table2[[#This Row],[goal]]</f>
        <v>313.41176470588238</v>
      </c>
      <c r="G264" t="s">
        <v>20</v>
      </c>
      <c r="H264">
        <v>107</v>
      </c>
      <c r="I264" s="4">
        <f>IF(Table2[[#This Row],[pledged]]&gt;0,Table2[[#This Row],[pledged]]/Table2[[#This Row],[backers_count]],0)</f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8">
        <f t="shared" si="8"/>
        <v>40638.208333333336</v>
      </c>
      <c r="O264" s="8">
        <f t="shared" si="9"/>
        <v>40664.208333333336</v>
      </c>
      <c r="P264" s="5">
        <f>_xlfn.DAYS(Table2[[#This Row],[Date Ended Conversion]],Table2[[#This Row],[Date Created Conversion]])+1</f>
        <v>27</v>
      </c>
      <c r="Q264" t="b">
        <v>0</v>
      </c>
      <c r="R264" t="b">
        <v>1</v>
      </c>
      <c r="S264" t="s">
        <v>60</v>
      </c>
      <c r="T264" t="str">
        <f>_xlfn.TEXTBEFORE(Table2[[#This Row],[category &amp; sub-category]],"/")</f>
        <v>music</v>
      </c>
      <c r="U264" t="str">
        <f>_xlfn.TEXTAFTER(Table2[[#This Row],[category &amp; sub-category]],"/")</f>
        <v>indie rock</v>
      </c>
    </row>
    <row r="265" spans="1:21" ht="17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5">
        <f>100*Table2[[#This Row],[pledged]]/Table2[[#This Row],[goal]]</f>
        <v>370.89655172413791</v>
      </c>
      <c r="G265" t="s">
        <v>20</v>
      </c>
      <c r="H265">
        <v>199</v>
      </c>
      <c r="I265" s="4">
        <f>IF(Table2[[#This Row],[pledged]]&gt;0,Table2[[#This Row],[pledged]]/Table2[[#This Row],[backers_count]],0)</f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8">
        <f t="shared" si="8"/>
        <v>40187.25</v>
      </c>
      <c r="O265" s="8">
        <f t="shared" si="9"/>
        <v>40187.25</v>
      </c>
      <c r="P265" s="5">
        <f>_xlfn.DAYS(Table2[[#This Row],[Date Ended Conversion]],Table2[[#This Row],[Date Created Conversion]])+1</f>
        <v>1</v>
      </c>
      <c r="Q265" t="b">
        <v>0</v>
      </c>
      <c r="R265" t="b">
        <v>0</v>
      </c>
      <c r="S265" t="s">
        <v>122</v>
      </c>
      <c r="T265" t="str">
        <f>_xlfn.TEXTBEFORE(Table2[[#This Row],[category &amp; sub-category]],"/")</f>
        <v>photography</v>
      </c>
      <c r="U265" t="str">
        <f>_xlfn.TEXTAFTER(Table2[[#This Row],[category &amp; sub-category]],"/")</f>
        <v>photography books</v>
      </c>
    </row>
    <row r="266" spans="1:21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5">
        <f>100*Table2[[#This Row],[pledged]]/Table2[[#This Row],[goal]]</f>
        <v>362.66447368421052</v>
      </c>
      <c r="G266" t="s">
        <v>20</v>
      </c>
      <c r="H266">
        <v>5512</v>
      </c>
      <c r="I266" s="4">
        <f>IF(Table2[[#This Row],[pledged]]&gt;0,Table2[[#This Row],[pledged]]/Table2[[#This Row],[backers_count]],0)</f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8">
        <f t="shared" si="8"/>
        <v>41317.25</v>
      </c>
      <c r="O266" s="8">
        <f t="shared" si="9"/>
        <v>41333.25</v>
      </c>
      <c r="P266" s="5">
        <f>_xlfn.DAYS(Table2[[#This Row],[Date Ended Conversion]],Table2[[#This Row],[Date Created Conversion]])+1</f>
        <v>17</v>
      </c>
      <c r="Q266" t="b">
        <v>0</v>
      </c>
      <c r="R266" t="b">
        <v>0</v>
      </c>
      <c r="S266" t="s">
        <v>33</v>
      </c>
      <c r="T266" t="str">
        <f>_xlfn.TEXTBEFORE(Table2[[#This Row],[category &amp; sub-category]],"/")</f>
        <v>theater</v>
      </c>
      <c r="U266" t="str">
        <f>_xlfn.TEXTAFTER(Table2[[#This Row],[category &amp; sub-category]],"/")</f>
        <v>plays</v>
      </c>
    </row>
    <row r="267" spans="1:21" ht="17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5">
        <f>100*Table2[[#This Row],[pledged]]/Table2[[#This Row],[goal]]</f>
        <v>123.08163265306122</v>
      </c>
      <c r="G267" t="s">
        <v>20</v>
      </c>
      <c r="H267">
        <v>86</v>
      </c>
      <c r="I267" s="4">
        <f>IF(Table2[[#This Row],[pledged]]&gt;0,Table2[[#This Row],[pledged]]/Table2[[#This Row],[backers_count]],0)</f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8">
        <f t="shared" si="8"/>
        <v>42372.25</v>
      </c>
      <c r="O267" s="8">
        <f t="shared" si="9"/>
        <v>42416.25</v>
      </c>
      <c r="P267" s="5">
        <f>_xlfn.DAYS(Table2[[#This Row],[Date Ended Conversion]],Table2[[#This Row],[Date Created Conversion]])+1</f>
        <v>45</v>
      </c>
      <c r="Q267" t="b">
        <v>0</v>
      </c>
      <c r="R267" t="b">
        <v>0</v>
      </c>
      <c r="S267" t="s">
        <v>33</v>
      </c>
      <c r="T267" t="str">
        <f>_xlfn.TEXTBEFORE(Table2[[#This Row],[category &amp; sub-category]],"/")</f>
        <v>theater</v>
      </c>
      <c r="U267" t="str">
        <f>_xlfn.TEXTAFTER(Table2[[#This Row],[category &amp; sub-category]],"/")</f>
        <v>plays</v>
      </c>
    </row>
    <row r="268" spans="1:21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5">
        <f>100*Table2[[#This Row],[pledged]]/Table2[[#This Row],[goal]]</f>
        <v>76.766756032171585</v>
      </c>
      <c r="G268" t="s">
        <v>14</v>
      </c>
      <c r="H268">
        <v>3182</v>
      </c>
      <c r="I268" s="4">
        <f>IF(Table2[[#This Row],[pledged]]&gt;0,Table2[[#This Row],[pledged]]/Table2[[#This Row],[backers_count]],0)</f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8">
        <f t="shared" si="8"/>
        <v>41950.25</v>
      </c>
      <c r="O268" s="8">
        <f t="shared" si="9"/>
        <v>41983.25</v>
      </c>
      <c r="P268" s="5">
        <f>_xlfn.DAYS(Table2[[#This Row],[Date Ended Conversion]],Table2[[#This Row],[Date Created Conversion]])+1</f>
        <v>34</v>
      </c>
      <c r="Q268" t="b">
        <v>0</v>
      </c>
      <c r="R268" t="b">
        <v>1</v>
      </c>
      <c r="S268" t="s">
        <v>159</v>
      </c>
      <c r="T268" t="str">
        <f>_xlfn.TEXTBEFORE(Table2[[#This Row],[category &amp; sub-category]],"/")</f>
        <v>music</v>
      </c>
      <c r="U268" t="str">
        <f>_xlfn.TEXTAFTER(Table2[[#This Row],[category &amp; sub-category]],"/")</f>
        <v>jazz</v>
      </c>
    </row>
    <row r="269" spans="1:21" ht="17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5">
        <f>100*Table2[[#This Row],[pledged]]/Table2[[#This Row],[goal]]</f>
        <v>233.62012987012986</v>
      </c>
      <c r="G269" t="s">
        <v>20</v>
      </c>
      <c r="H269">
        <v>2768</v>
      </c>
      <c r="I269" s="4">
        <f>IF(Table2[[#This Row],[pledged]]&gt;0,Table2[[#This Row],[pledged]]/Table2[[#This Row],[backers_count]],0)</f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8">
        <f t="shared" si="8"/>
        <v>41206.208333333336</v>
      </c>
      <c r="O269" s="8">
        <f t="shared" si="9"/>
        <v>41222.25</v>
      </c>
      <c r="P269" s="5">
        <f>_xlfn.DAYS(Table2[[#This Row],[Date Ended Conversion]],Table2[[#This Row],[Date Created Conversion]])+1</f>
        <v>17</v>
      </c>
      <c r="Q269" t="b">
        <v>0</v>
      </c>
      <c r="R269" t="b">
        <v>0</v>
      </c>
      <c r="S269" t="s">
        <v>33</v>
      </c>
      <c r="T269" t="str">
        <f>_xlfn.TEXTBEFORE(Table2[[#This Row],[category &amp; sub-category]],"/")</f>
        <v>theater</v>
      </c>
      <c r="U269" t="str">
        <f>_xlfn.TEXTAFTER(Table2[[#This Row],[category &amp; sub-category]],"/")</f>
        <v>plays</v>
      </c>
    </row>
    <row r="270" spans="1:21" ht="17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5">
        <f>100*Table2[[#This Row],[pledged]]/Table2[[#This Row],[goal]]</f>
        <v>180.53333333333333</v>
      </c>
      <c r="G270" t="s">
        <v>20</v>
      </c>
      <c r="H270">
        <v>48</v>
      </c>
      <c r="I270" s="4">
        <f>IF(Table2[[#This Row],[pledged]]&gt;0,Table2[[#This Row],[pledged]]/Table2[[#This Row],[backers_count]],0)</f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8">
        <f t="shared" si="8"/>
        <v>41186.208333333336</v>
      </c>
      <c r="O270" s="8">
        <f t="shared" si="9"/>
        <v>41232.25</v>
      </c>
      <c r="P270" s="5">
        <f>_xlfn.DAYS(Table2[[#This Row],[Date Ended Conversion]],Table2[[#This Row],[Date Created Conversion]])+1</f>
        <v>47</v>
      </c>
      <c r="Q270" t="b">
        <v>0</v>
      </c>
      <c r="R270" t="b">
        <v>0</v>
      </c>
      <c r="S270" t="s">
        <v>42</v>
      </c>
      <c r="T270" t="str">
        <f>_xlfn.TEXTBEFORE(Table2[[#This Row],[category &amp; sub-category]],"/")</f>
        <v>film &amp; video</v>
      </c>
      <c r="U270" t="str">
        <f>_xlfn.TEXTAFTER(Table2[[#This Row],[category &amp; sub-category]],"/")</f>
        <v>documentary</v>
      </c>
    </row>
    <row r="271" spans="1:21" ht="17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5">
        <f>100*Table2[[#This Row],[pledged]]/Table2[[#This Row],[goal]]</f>
        <v>252.62857142857143</v>
      </c>
      <c r="G271" t="s">
        <v>20</v>
      </c>
      <c r="H271">
        <v>87</v>
      </c>
      <c r="I271" s="4">
        <f>IF(Table2[[#This Row],[pledged]]&gt;0,Table2[[#This Row],[pledged]]/Table2[[#This Row],[backers_count]],0)</f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8">
        <f t="shared" si="8"/>
        <v>43496.25</v>
      </c>
      <c r="O271" s="8">
        <f t="shared" si="9"/>
        <v>43517.25</v>
      </c>
      <c r="P271" s="5">
        <f>_xlfn.DAYS(Table2[[#This Row],[Date Ended Conversion]],Table2[[#This Row],[Date Created Conversion]])+1</f>
        <v>22</v>
      </c>
      <c r="Q271" t="b">
        <v>0</v>
      </c>
      <c r="R271" t="b">
        <v>0</v>
      </c>
      <c r="S271" t="s">
        <v>269</v>
      </c>
      <c r="T271" t="str">
        <f>_xlfn.TEXTBEFORE(Table2[[#This Row],[category &amp; sub-category]],"/")</f>
        <v>film &amp; video</v>
      </c>
      <c r="U271" t="str">
        <f>_xlfn.TEXTAFTER(Table2[[#This Row],[category &amp; sub-category]],"/")</f>
        <v>television</v>
      </c>
    </row>
    <row r="272" spans="1:21" ht="17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5">
        <f>100*Table2[[#This Row],[pledged]]/Table2[[#This Row],[goal]]</f>
        <v>27.176538240368028</v>
      </c>
      <c r="G272" t="s">
        <v>74</v>
      </c>
      <c r="H272">
        <v>1890</v>
      </c>
      <c r="I272" s="4">
        <f>IF(Table2[[#This Row],[pledged]]&gt;0,Table2[[#This Row],[pledged]]/Table2[[#This Row],[backers_count]],0)</f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8">
        <f t="shared" si="8"/>
        <v>40514.25</v>
      </c>
      <c r="O272" s="8">
        <f t="shared" si="9"/>
        <v>40516.25</v>
      </c>
      <c r="P272" s="5">
        <f>_xlfn.DAYS(Table2[[#This Row],[Date Ended Conversion]],Table2[[#This Row],[Date Created Conversion]])+1</f>
        <v>3</v>
      </c>
      <c r="Q272" t="b">
        <v>0</v>
      </c>
      <c r="R272" t="b">
        <v>0</v>
      </c>
      <c r="S272" t="s">
        <v>89</v>
      </c>
      <c r="T272" t="str">
        <f>_xlfn.TEXTBEFORE(Table2[[#This Row],[category &amp; sub-category]],"/")</f>
        <v>games</v>
      </c>
      <c r="U272" t="str">
        <f>_xlfn.TEXTAFTER(Table2[[#This Row],[category &amp; sub-category]],"/")</f>
        <v>video games</v>
      </c>
    </row>
    <row r="273" spans="1:21" ht="34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5">
        <f>100*Table2[[#This Row],[pledged]]/Table2[[#This Row],[goal]]</f>
        <v>1.2706571242680547</v>
      </c>
      <c r="G273" t="s">
        <v>47</v>
      </c>
      <c r="H273">
        <v>61</v>
      </c>
      <c r="I273" s="4">
        <f>IF(Table2[[#This Row],[pledged]]&gt;0,Table2[[#This Row],[pledged]]/Table2[[#This Row],[backers_count]],0)</f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8">
        <f t="shared" si="8"/>
        <v>42345.25</v>
      </c>
      <c r="O273" s="8">
        <f t="shared" si="9"/>
        <v>42376.25</v>
      </c>
      <c r="P273" s="5">
        <f>_xlfn.DAYS(Table2[[#This Row],[Date Ended Conversion]],Table2[[#This Row],[Date Created Conversion]])+1</f>
        <v>32</v>
      </c>
      <c r="Q273" t="b">
        <v>0</v>
      </c>
      <c r="R273" t="b">
        <v>0</v>
      </c>
      <c r="S273" t="s">
        <v>122</v>
      </c>
      <c r="T273" t="str">
        <f>_xlfn.TEXTBEFORE(Table2[[#This Row],[category &amp; sub-category]],"/")</f>
        <v>photography</v>
      </c>
      <c r="U273" t="str">
        <f>_xlfn.TEXTAFTER(Table2[[#This Row],[category &amp; sub-category]],"/")</f>
        <v>photography books</v>
      </c>
    </row>
    <row r="274" spans="1:21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5">
        <f>100*Table2[[#This Row],[pledged]]/Table2[[#This Row],[goal]]</f>
        <v>304.00978473581216</v>
      </c>
      <c r="G274" t="s">
        <v>20</v>
      </c>
      <c r="H274">
        <v>1894</v>
      </c>
      <c r="I274" s="4">
        <f>IF(Table2[[#This Row],[pledged]]&gt;0,Table2[[#This Row],[pledged]]/Table2[[#This Row],[backers_count]],0)</f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8">
        <f t="shared" si="8"/>
        <v>43656.208333333328</v>
      </c>
      <c r="O274" s="8">
        <f t="shared" si="9"/>
        <v>43681.208333333328</v>
      </c>
      <c r="P274" s="5">
        <f>_xlfn.DAYS(Table2[[#This Row],[Date Ended Conversion]],Table2[[#This Row],[Date Created Conversion]])+1</f>
        <v>26</v>
      </c>
      <c r="Q274" t="b">
        <v>0</v>
      </c>
      <c r="R274" t="b">
        <v>1</v>
      </c>
      <c r="S274" t="s">
        <v>33</v>
      </c>
      <c r="T274" t="str">
        <f>_xlfn.TEXTBEFORE(Table2[[#This Row],[category &amp; sub-category]],"/")</f>
        <v>theater</v>
      </c>
      <c r="U274" t="str">
        <f>_xlfn.TEXTAFTER(Table2[[#This Row],[category &amp; sub-category]],"/")</f>
        <v>plays</v>
      </c>
    </row>
    <row r="275" spans="1:21" ht="17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5">
        <f>100*Table2[[#This Row],[pledged]]/Table2[[#This Row],[goal]]</f>
        <v>137.23076923076923</v>
      </c>
      <c r="G275" t="s">
        <v>20</v>
      </c>
      <c r="H275">
        <v>282</v>
      </c>
      <c r="I275" s="4">
        <f>IF(Table2[[#This Row],[pledged]]&gt;0,Table2[[#This Row],[pledged]]/Table2[[#This Row],[backers_count]],0)</f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8">
        <f t="shared" si="8"/>
        <v>42995.208333333328</v>
      </c>
      <c r="O275" s="8">
        <f t="shared" si="9"/>
        <v>42998.208333333328</v>
      </c>
      <c r="P275" s="5">
        <f>_xlfn.DAYS(Table2[[#This Row],[Date Ended Conversion]],Table2[[#This Row],[Date Created Conversion]])+1</f>
        <v>4</v>
      </c>
      <c r="Q275" t="b">
        <v>0</v>
      </c>
      <c r="R275" t="b">
        <v>0</v>
      </c>
      <c r="S275" t="s">
        <v>33</v>
      </c>
      <c r="T275" t="str">
        <f>_xlfn.TEXTBEFORE(Table2[[#This Row],[category &amp; sub-category]],"/")</f>
        <v>theater</v>
      </c>
      <c r="U275" t="str">
        <f>_xlfn.TEXTAFTER(Table2[[#This Row],[category &amp; sub-category]],"/")</f>
        <v>plays</v>
      </c>
    </row>
    <row r="276" spans="1:21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5">
        <f>100*Table2[[#This Row],[pledged]]/Table2[[#This Row],[goal]]</f>
        <v>32.208333333333336</v>
      </c>
      <c r="G276" t="s">
        <v>14</v>
      </c>
      <c r="H276">
        <v>15</v>
      </c>
      <c r="I276" s="4">
        <f>IF(Table2[[#This Row],[pledged]]&gt;0,Table2[[#This Row],[pledged]]/Table2[[#This Row],[backers_count]],0)</f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8">
        <f t="shared" si="8"/>
        <v>43045.25</v>
      </c>
      <c r="O276" s="8">
        <f t="shared" si="9"/>
        <v>43050.25</v>
      </c>
      <c r="P276" s="5">
        <f>_xlfn.DAYS(Table2[[#This Row],[Date Ended Conversion]],Table2[[#This Row],[Date Created Conversion]])+1</f>
        <v>6</v>
      </c>
      <c r="Q276" t="b">
        <v>0</v>
      </c>
      <c r="R276" t="b">
        <v>0</v>
      </c>
      <c r="S276" t="s">
        <v>33</v>
      </c>
      <c r="T276" t="str">
        <f>_xlfn.TEXTBEFORE(Table2[[#This Row],[category &amp; sub-category]],"/")</f>
        <v>theater</v>
      </c>
      <c r="U276" t="str">
        <f>_xlfn.TEXTAFTER(Table2[[#This Row],[category &amp; sub-category]],"/")</f>
        <v>plays</v>
      </c>
    </row>
    <row r="277" spans="1:21" ht="34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5">
        <f>100*Table2[[#This Row],[pledged]]/Table2[[#This Row],[goal]]</f>
        <v>241.51282051282053</v>
      </c>
      <c r="G277" t="s">
        <v>20</v>
      </c>
      <c r="H277">
        <v>116</v>
      </c>
      <c r="I277" s="4">
        <f>IF(Table2[[#This Row],[pledged]]&gt;0,Table2[[#This Row],[pledged]]/Table2[[#This Row],[backers_count]],0)</f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8">
        <f t="shared" si="8"/>
        <v>43561.208333333328</v>
      </c>
      <c r="O277" s="8">
        <f t="shared" si="9"/>
        <v>43569.208333333328</v>
      </c>
      <c r="P277" s="5">
        <f>_xlfn.DAYS(Table2[[#This Row],[Date Ended Conversion]],Table2[[#This Row],[Date Created Conversion]])+1</f>
        <v>9</v>
      </c>
      <c r="Q277" t="b">
        <v>0</v>
      </c>
      <c r="R277" t="b">
        <v>0</v>
      </c>
      <c r="S277" t="s">
        <v>206</v>
      </c>
      <c r="T277" t="str">
        <f>_xlfn.TEXTBEFORE(Table2[[#This Row],[category &amp; sub-category]],"/")</f>
        <v>publishing</v>
      </c>
      <c r="U277" t="str">
        <f>_xlfn.TEXTAFTER(Table2[[#This Row],[category &amp; sub-category]],"/")</f>
        <v>translations</v>
      </c>
    </row>
    <row r="278" spans="1:21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5">
        <f>100*Table2[[#This Row],[pledged]]/Table2[[#This Row],[goal]]</f>
        <v>96.8</v>
      </c>
      <c r="G278" t="s">
        <v>14</v>
      </c>
      <c r="H278">
        <v>133</v>
      </c>
      <c r="I278" s="4">
        <f>IF(Table2[[#This Row],[pledged]]&gt;0,Table2[[#This Row],[pledged]]/Table2[[#This Row],[backers_count]],0)</f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8">
        <f t="shared" si="8"/>
        <v>41018.208333333336</v>
      </c>
      <c r="O278" s="8">
        <f t="shared" si="9"/>
        <v>41023.208333333336</v>
      </c>
      <c r="P278" s="5">
        <f>_xlfn.DAYS(Table2[[#This Row],[Date Ended Conversion]],Table2[[#This Row],[Date Created Conversion]])+1</f>
        <v>6</v>
      </c>
      <c r="Q278" t="b">
        <v>0</v>
      </c>
      <c r="R278" t="b">
        <v>1</v>
      </c>
      <c r="S278" t="s">
        <v>89</v>
      </c>
      <c r="T278" t="str">
        <f>_xlfn.TEXTBEFORE(Table2[[#This Row],[category &amp; sub-category]],"/")</f>
        <v>games</v>
      </c>
      <c r="U278" t="str">
        <f>_xlfn.TEXTAFTER(Table2[[#This Row],[category &amp; sub-category]],"/")</f>
        <v>video games</v>
      </c>
    </row>
    <row r="279" spans="1:21" ht="34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5">
        <f>100*Table2[[#This Row],[pledged]]/Table2[[#This Row],[goal]]</f>
        <v>1066.4285714285713</v>
      </c>
      <c r="G279" t="s">
        <v>20</v>
      </c>
      <c r="H279">
        <v>83</v>
      </c>
      <c r="I279" s="4">
        <f>IF(Table2[[#This Row],[pledged]]&gt;0,Table2[[#This Row],[pledged]]/Table2[[#This Row],[backers_count]],0)</f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8">
        <f t="shared" si="8"/>
        <v>40378.208333333336</v>
      </c>
      <c r="O279" s="8">
        <f t="shared" si="9"/>
        <v>40380.208333333336</v>
      </c>
      <c r="P279" s="5">
        <f>_xlfn.DAYS(Table2[[#This Row],[Date Ended Conversion]],Table2[[#This Row],[Date Created Conversion]])+1</f>
        <v>3</v>
      </c>
      <c r="Q279" t="b">
        <v>0</v>
      </c>
      <c r="R279" t="b">
        <v>0</v>
      </c>
      <c r="S279" t="s">
        <v>33</v>
      </c>
      <c r="T279" t="str">
        <f>_xlfn.TEXTBEFORE(Table2[[#This Row],[category &amp; sub-category]],"/")</f>
        <v>theater</v>
      </c>
      <c r="U279" t="str">
        <f>_xlfn.TEXTAFTER(Table2[[#This Row],[category &amp; sub-category]],"/")</f>
        <v>plays</v>
      </c>
    </row>
    <row r="280" spans="1:21" ht="17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5">
        <f>100*Table2[[#This Row],[pledged]]/Table2[[#This Row],[goal]]</f>
        <v>325.88888888888891</v>
      </c>
      <c r="G280" t="s">
        <v>20</v>
      </c>
      <c r="H280">
        <v>91</v>
      </c>
      <c r="I280" s="4">
        <f>IF(Table2[[#This Row],[pledged]]&gt;0,Table2[[#This Row],[pledged]]/Table2[[#This Row],[backers_count]],0)</f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8">
        <f t="shared" si="8"/>
        <v>41239.25</v>
      </c>
      <c r="O280" s="8">
        <f t="shared" si="9"/>
        <v>41264.25</v>
      </c>
      <c r="P280" s="5">
        <f>_xlfn.DAYS(Table2[[#This Row],[Date Ended Conversion]],Table2[[#This Row],[Date Created Conversion]])+1</f>
        <v>26</v>
      </c>
      <c r="Q280" t="b">
        <v>0</v>
      </c>
      <c r="R280" t="b">
        <v>0</v>
      </c>
      <c r="S280" t="s">
        <v>28</v>
      </c>
      <c r="T280" t="str">
        <f>_xlfn.TEXTBEFORE(Table2[[#This Row],[category &amp; sub-category]],"/")</f>
        <v>technology</v>
      </c>
      <c r="U280" t="str">
        <f>_xlfn.TEXTAFTER(Table2[[#This Row],[category &amp; sub-category]],"/")</f>
        <v>web</v>
      </c>
    </row>
    <row r="281" spans="1:21" ht="17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5">
        <f>100*Table2[[#This Row],[pledged]]/Table2[[#This Row],[goal]]</f>
        <v>170.7</v>
      </c>
      <c r="G281" t="s">
        <v>20</v>
      </c>
      <c r="H281">
        <v>546</v>
      </c>
      <c r="I281" s="4">
        <f>IF(Table2[[#This Row],[pledged]]&gt;0,Table2[[#This Row],[pledged]]/Table2[[#This Row],[backers_count]],0)</f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8">
        <f t="shared" si="8"/>
        <v>43346.208333333328</v>
      </c>
      <c r="O281" s="8">
        <f t="shared" si="9"/>
        <v>43349.208333333328</v>
      </c>
      <c r="P281" s="5">
        <f>_xlfn.DAYS(Table2[[#This Row],[Date Ended Conversion]],Table2[[#This Row],[Date Created Conversion]])+1</f>
        <v>4</v>
      </c>
      <c r="Q281" t="b">
        <v>0</v>
      </c>
      <c r="R281" t="b">
        <v>0</v>
      </c>
      <c r="S281" t="s">
        <v>33</v>
      </c>
      <c r="T281" t="str">
        <f>_xlfn.TEXTBEFORE(Table2[[#This Row],[category &amp; sub-category]],"/")</f>
        <v>theater</v>
      </c>
      <c r="U281" t="str">
        <f>_xlfn.TEXTAFTER(Table2[[#This Row],[category &amp; sub-category]],"/")</f>
        <v>plays</v>
      </c>
    </row>
    <row r="282" spans="1:21" ht="34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5">
        <f>100*Table2[[#This Row],[pledged]]/Table2[[#This Row],[goal]]</f>
        <v>581.44000000000005</v>
      </c>
      <c r="G282" t="s">
        <v>20</v>
      </c>
      <c r="H282">
        <v>393</v>
      </c>
      <c r="I282" s="4">
        <f>IF(Table2[[#This Row],[pledged]]&gt;0,Table2[[#This Row],[pledged]]/Table2[[#This Row],[backers_count]],0)</f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8">
        <f t="shared" si="8"/>
        <v>43060.25</v>
      </c>
      <c r="O282" s="8">
        <f t="shared" si="9"/>
        <v>43066.25</v>
      </c>
      <c r="P282" s="5">
        <f>_xlfn.DAYS(Table2[[#This Row],[Date Ended Conversion]],Table2[[#This Row],[Date Created Conversion]])+1</f>
        <v>7</v>
      </c>
      <c r="Q282" t="b">
        <v>0</v>
      </c>
      <c r="R282" t="b">
        <v>0</v>
      </c>
      <c r="S282" t="s">
        <v>71</v>
      </c>
      <c r="T282" t="str">
        <f>_xlfn.TEXTBEFORE(Table2[[#This Row],[category &amp; sub-category]],"/")</f>
        <v>film &amp; video</v>
      </c>
      <c r="U282" t="str">
        <f>_xlfn.TEXTAFTER(Table2[[#This Row],[category &amp; sub-category]],"/")</f>
        <v>animation</v>
      </c>
    </row>
    <row r="283" spans="1:21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5">
        <f>100*Table2[[#This Row],[pledged]]/Table2[[#This Row],[goal]]</f>
        <v>91.520972644376897</v>
      </c>
      <c r="G283" t="s">
        <v>14</v>
      </c>
      <c r="H283">
        <v>2062</v>
      </c>
      <c r="I283" s="4">
        <f>IF(Table2[[#This Row],[pledged]]&gt;0,Table2[[#This Row],[pledged]]/Table2[[#This Row],[backers_count]],0)</f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8">
        <f t="shared" si="8"/>
        <v>40979.25</v>
      </c>
      <c r="O283" s="8">
        <f t="shared" si="9"/>
        <v>41000.208333333336</v>
      </c>
      <c r="P283" s="5">
        <f>_xlfn.DAYS(Table2[[#This Row],[Date Ended Conversion]],Table2[[#This Row],[Date Created Conversion]])+1</f>
        <v>22</v>
      </c>
      <c r="Q283" t="b">
        <v>0</v>
      </c>
      <c r="R283" t="b">
        <v>1</v>
      </c>
      <c r="S283" t="s">
        <v>33</v>
      </c>
      <c r="T283" t="str">
        <f>_xlfn.TEXTBEFORE(Table2[[#This Row],[category &amp; sub-category]],"/")</f>
        <v>theater</v>
      </c>
      <c r="U283" t="str">
        <f>_xlfn.TEXTAFTER(Table2[[#This Row],[category &amp; sub-category]],"/")</f>
        <v>plays</v>
      </c>
    </row>
    <row r="284" spans="1:21" ht="17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5">
        <f>100*Table2[[#This Row],[pledged]]/Table2[[#This Row],[goal]]</f>
        <v>108.04761904761905</v>
      </c>
      <c r="G284" t="s">
        <v>20</v>
      </c>
      <c r="H284">
        <v>133</v>
      </c>
      <c r="I284" s="4">
        <f>IF(Table2[[#This Row],[pledged]]&gt;0,Table2[[#This Row],[pledged]]/Table2[[#This Row],[backers_count]],0)</f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8">
        <f t="shared" si="8"/>
        <v>42701.25</v>
      </c>
      <c r="O284" s="8">
        <f t="shared" si="9"/>
        <v>42707.25</v>
      </c>
      <c r="P284" s="5">
        <f>_xlfn.DAYS(Table2[[#This Row],[Date Ended Conversion]],Table2[[#This Row],[Date Created Conversion]])+1</f>
        <v>7</v>
      </c>
      <c r="Q284" t="b">
        <v>0</v>
      </c>
      <c r="R284" t="b">
        <v>1</v>
      </c>
      <c r="S284" t="s">
        <v>269</v>
      </c>
      <c r="T284" t="str">
        <f>_xlfn.TEXTBEFORE(Table2[[#This Row],[category &amp; sub-category]],"/")</f>
        <v>film &amp; video</v>
      </c>
      <c r="U284" t="str">
        <f>_xlfn.TEXTAFTER(Table2[[#This Row],[category &amp; sub-category]],"/")</f>
        <v>television</v>
      </c>
    </row>
    <row r="285" spans="1:21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5">
        <f>100*Table2[[#This Row],[pledged]]/Table2[[#This Row],[goal]]</f>
        <v>18.728395061728396</v>
      </c>
      <c r="G285" t="s">
        <v>14</v>
      </c>
      <c r="H285">
        <v>29</v>
      </c>
      <c r="I285" s="4">
        <f>IF(Table2[[#This Row],[pledged]]&gt;0,Table2[[#This Row],[pledged]]/Table2[[#This Row],[backers_count]],0)</f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8">
        <f t="shared" si="8"/>
        <v>42520.208333333328</v>
      </c>
      <c r="O285" s="8">
        <f t="shared" si="9"/>
        <v>42525.208333333328</v>
      </c>
      <c r="P285" s="5">
        <f>_xlfn.DAYS(Table2[[#This Row],[Date Ended Conversion]],Table2[[#This Row],[Date Created Conversion]])+1</f>
        <v>6</v>
      </c>
      <c r="Q285" t="b">
        <v>0</v>
      </c>
      <c r="R285" t="b">
        <v>0</v>
      </c>
      <c r="S285" t="s">
        <v>23</v>
      </c>
      <c r="T285" t="str">
        <f>_xlfn.TEXTBEFORE(Table2[[#This Row],[category &amp; sub-category]],"/")</f>
        <v>music</v>
      </c>
      <c r="U285" t="str">
        <f>_xlfn.TEXTAFTER(Table2[[#This Row],[category &amp; sub-category]],"/")</f>
        <v>rock</v>
      </c>
    </row>
    <row r="286" spans="1:21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5">
        <f>100*Table2[[#This Row],[pledged]]/Table2[[#This Row],[goal]]</f>
        <v>83.193877551020407</v>
      </c>
      <c r="G286" t="s">
        <v>14</v>
      </c>
      <c r="H286">
        <v>132</v>
      </c>
      <c r="I286" s="4">
        <f>IF(Table2[[#This Row],[pledged]]&gt;0,Table2[[#This Row],[pledged]]/Table2[[#This Row],[backers_count]],0)</f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8">
        <f t="shared" si="8"/>
        <v>41030.208333333336</v>
      </c>
      <c r="O286" s="8">
        <f t="shared" si="9"/>
        <v>41035.208333333336</v>
      </c>
      <c r="P286" s="5">
        <f>_xlfn.DAYS(Table2[[#This Row],[Date Ended Conversion]],Table2[[#This Row],[Date Created Conversion]])+1</f>
        <v>6</v>
      </c>
      <c r="Q286" t="b">
        <v>0</v>
      </c>
      <c r="R286" t="b">
        <v>0</v>
      </c>
      <c r="S286" t="s">
        <v>28</v>
      </c>
      <c r="T286" t="str">
        <f>_xlfn.TEXTBEFORE(Table2[[#This Row],[category &amp; sub-category]],"/")</f>
        <v>technology</v>
      </c>
      <c r="U286" t="str">
        <f>_xlfn.TEXTAFTER(Table2[[#This Row],[category &amp; sub-category]],"/")</f>
        <v>web</v>
      </c>
    </row>
    <row r="287" spans="1:21" ht="17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5">
        <f>100*Table2[[#This Row],[pledged]]/Table2[[#This Row],[goal]]</f>
        <v>706.33333333333337</v>
      </c>
      <c r="G287" t="s">
        <v>20</v>
      </c>
      <c r="H287">
        <v>254</v>
      </c>
      <c r="I287" s="4">
        <f>IF(Table2[[#This Row],[pledged]]&gt;0,Table2[[#This Row],[pledged]]/Table2[[#This Row],[backers_count]],0)</f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8">
        <f t="shared" si="8"/>
        <v>42623.208333333328</v>
      </c>
      <c r="O287" s="8">
        <f t="shared" si="9"/>
        <v>42661.208333333328</v>
      </c>
      <c r="P287" s="5">
        <f>_xlfn.DAYS(Table2[[#This Row],[Date Ended Conversion]],Table2[[#This Row],[Date Created Conversion]])+1</f>
        <v>39</v>
      </c>
      <c r="Q287" t="b">
        <v>0</v>
      </c>
      <c r="R287" t="b">
        <v>0</v>
      </c>
      <c r="S287" t="s">
        <v>33</v>
      </c>
      <c r="T287" t="str">
        <f>_xlfn.TEXTBEFORE(Table2[[#This Row],[category &amp; sub-category]],"/")</f>
        <v>theater</v>
      </c>
      <c r="U287" t="str">
        <f>_xlfn.TEXTAFTER(Table2[[#This Row],[category &amp; sub-category]],"/")</f>
        <v>plays</v>
      </c>
    </row>
    <row r="288" spans="1:21" ht="17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5">
        <f>100*Table2[[#This Row],[pledged]]/Table2[[#This Row],[goal]]</f>
        <v>17.446030330062445</v>
      </c>
      <c r="G288" t="s">
        <v>74</v>
      </c>
      <c r="H288">
        <v>184</v>
      </c>
      <c r="I288" s="4">
        <f>IF(Table2[[#This Row],[pledged]]&gt;0,Table2[[#This Row],[pledged]]/Table2[[#This Row],[backers_count]],0)</f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8">
        <f t="shared" si="8"/>
        <v>42697.25</v>
      </c>
      <c r="O288" s="8">
        <f t="shared" si="9"/>
        <v>42704.25</v>
      </c>
      <c r="P288" s="5">
        <f>_xlfn.DAYS(Table2[[#This Row],[Date Ended Conversion]],Table2[[#This Row],[Date Created Conversion]])+1</f>
        <v>8</v>
      </c>
      <c r="Q288" t="b">
        <v>0</v>
      </c>
      <c r="R288" t="b">
        <v>0</v>
      </c>
      <c r="S288" t="s">
        <v>33</v>
      </c>
      <c r="T288" t="str">
        <f>_xlfn.TEXTBEFORE(Table2[[#This Row],[category &amp; sub-category]],"/")</f>
        <v>theater</v>
      </c>
      <c r="U288" t="str">
        <f>_xlfn.TEXTAFTER(Table2[[#This Row],[category &amp; sub-category]],"/")</f>
        <v>plays</v>
      </c>
    </row>
    <row r="289" spans="1:21" ht="17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5">
        <f>100*Table2[[#This Row],[pledged]]/Table2[[#This Row],[goal]]</f>
        <v>209.73015873015873</v>
      </c>
      <c r="G289" t="s">
        <v>20</v>
      </c>
      <c r="H289">
        <v>176</v>
      </c>
      <c r="I289" s="4">
        <f>IF(Table2[[#This Row],[pledged]]&gt;0,Table2[[#This Row],[pledged]]/Table2[[#This Row],[backers_count]],0)</f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8">
        <f t="shared" si="8"/>
        <v>42122.208333333328</v>
      </c>
      <c r="O289" s="8">
        <f t="shared" si="9"/>
        <v>42122.208333333328</v>
      </c>
      <c r="P289" s="5">
        <f>_xlfn.DAYS(Table2[[#This Row],[Date Ended Conversion]],Table2[[#This Row],[Date Created Conversion]])+1</f>
        <v>1</v>
      </c>
      <c r="Q289" t="b">
        <v>0</v>
      </c>
      <c r="R289" t="b">
        <v>0</v>
      </c>
      <c r="S289" t="s">
        <v>50</v>
      </c>
      <c r="T289" t="str">
        <f>_xlfn.TEXTBEFORE(Table2[[#This Row],[category &amp; sub-category]],"/")</f>
        <v>music</v>
      </c>
      <c r="U289" t="str">
        <f>_xlfn.TEXTAFTER(Table2[[#This Row],[category &amp; sub-category]],"/")</f>
        <v>electric music</v>
      </c>
    </row>
    <row r="290" spans="1:21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5">
        <f>100*Table2[[#This Row],[pledged]]/Table2[[#This Row],[goal]]</f>
        <v>97.785714285714292</v>
      </c>
      <c r="G290" t="s">
        <v>14</v>
      </c>
      <c r="H290">
        <v>137</v>
      </c>
      <c r="I290" s="4">
        <f>IF(Table2[[#This Row],[pledged]]&gt;0,Table2[[#This Row],[pledged]]/Table2[[#This Row],[backers_count]],0)</f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8">
        <f t="shared" si="8"/>
        <v>40982.208333333336</v>
      </c>
      <c r="O290" s="8">
        <f t="shared" si="9"/>
        <v>40983.208333333336</v>
      </c>
      <c r="P290" s="5">
        <f>_xlfn.DAYS(Table2[[#This Row],[Date Ended Conversion]],Table2[[#This Row],[Date Created Conversion]])+1</f>
        <v>2</v>
      </c>
      <c r="Q290" t="b">
        <v>0</v>
      </c>
      <c r="R290" t="b">
        <v>1</v>
      </c>
      <c r="S290" t="s">
        <v>148</v>
      </c>
      <c r="T290" t="str">
        <f>_xlfn.TEXTBEFORE(Table2[[#This Row],[category &amp; sub-category]],"/")</f>
        <v>music</v>
      </c>
      <c r="U290" t="str">
        <f>_xlfn.TEXTAFTER(Table2[[#This Row],[category &amp; sub-category]],"/")</f>
        <v>metal</v>
      </c>
    </row>
    <row r="291" spans="1:21" ht="17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5">
        <f>100*Table2[[#This Row],[pledged]]/Table2[[#This Row],[goal]]</f>
        <v>1684.25</v>
      </c>
      <c r="G291" t="s">
        <v>20</v>
      </c>
      <c r="H291">
        <v>337</v>
      </c>
      <c r="I291" s="4">
        <f>IF(Table2[[#This Row],[pledged]]&gt;0,Table2[[#This Row],[pledged]]/Table2[[#This Row],[backers_count]],0)</f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8">
        <f t="shared" si="8"/>
        <v>42219.208333333328</v>
      </c>
      <c r="O291" s="8">
        <f t="shared" si="9"/>
        <v>42222.208333333328</v>
      </c>
      <c r="P291" s="5">
        <f>_xlfn.DAYS(Table2[[#This Row],[Date Ended Conversion]],Table2[[#This Row],[Date Created Conversion]])+1</f>
        <v>4</v>
      </c>
      <c r="Q291" t="b">
        <v>0</v>
      </c>
      <c r="R291" t="b">
        <v>0</v>
      </c>
      <c r="S291" t="s">
        <v>33</v>
      </c>
      <c r="T291" t="str">
        <f>_xlfn.TEXTBEFORE(Table2[[#This Row],[category &amp; sub-category]],"/")</f>
        <v>theater</v>
      </c>
      <c r="U291" t="str">
        <f>_xlfn.TEXTAFTER(Table2[[#This Row],[category &amp; sub-category]],"/")</f>
        <v>plays</v>
      </c>
    </row>
    <row r="292" spans="1:21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5">
        <f>100*Table2[[#This Row],[pledged]]/Table2[[#This Row],[goal]]</f>
        <v>54.402135231316727</v>
      </c>
      <c r="G292" t="s">
        <v>14</v>
      </c>
      <c r="H292">
        <v>908</v>
      </c>
      <c r="I292" s="4">
        <f>IF(Table2[[#This Row],[pledged]]&gt;0,Table2[[#This Row],[pledged]]/Table2[[#This Row],[backers_count]],0)</f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8">
        <f t="shared" si="8"/>
        <v>41404.208333333336</v>
      </c>
      <c r="O292" s="8">
        <f t="shared" si="9"/>
        <v>41436.208333333336</v>
      </c>
      <c r="P292" s="5">
        <f>_xlfn.DAYS(Table2[[#This Row],[Date Ended Conversion]],Table2[[#This Row],[Date Created Conversion]])+1</f>
        <v>33</v>
      </c>
      <c r="Q292" t="b">
        <v>0</v>
      </c>
      <c r="R292" t="b">
        <v>1</v>
      </c>
      <c r="S292" t="s">
        <v>42</v>
      </c>
      <c r="T292" t="str">
        <f>_xlfn.TEXTBEFORE(Table2[[#This Row],[category &amp; sub-category]],"/")</f>
        <v>film &amp; video</v>
      </c>
      <c r="U292" t="str">
        <f>_xlfn.TEXTAFTER(Table2[[#This Row],[category &amp; sub-category]],"/")</f>
        <v>documentary</v>
      </c>
    </row>
    <row r="293" spans="1:21" ht="17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5">
        <f>100*Table2[[#This Row],[pledged]]/Table2[[#This Row],[goal]]</f>
        <v>456.61111111111109</v>
      </c>
      <c r="G293" t="s">
        <v>20</v>
      </c>
      <c r="H293">
        <v>107</v>
      </c>
      <c r="I293" s="4">
        <f>IF(Table2[[#This Row],[pledged]]&gt;0,Table2[[#This Row],[pledged]]/Table2[[#This Row],[backers_count]],0)</f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8">
        <f t="shared" si="8"/>
        <v>40831.208333333336</v>
      </c>
      <c r="O293" s="8">
        <f t="shared" si="9"/>
        <v>40835.208333333336</v>
      </c>
      <c r="P293" s="5">
        <f>_xlfn.DAYS(Table2[[#This Row],[Date Ended Conversion]],Table2[[#This Row],[Date Created Conversion]])+1</f>
        <v>5</v>
      </c>
      <c r="Q293" t="b">
        <v>1</v>
      </c>
      <c r="R293" t="b">
        <v>0</v>
      </c>
      <c r="S293" t="s">
        <v>28</v>
      </c>
      <c r="T293" t="str">
        <f>_xlfn.TEXTBEFORE(Table2[[#This Row],[category &amp; sub-category]],"/")</f>
        <v>technology</v>
      </c>
      <c r="U293" t="str">
        <f>_xlfn.TEXTAFTER(Table2[[#This Row],[category &amp; sub-category]],"/")</f>
        <v>web</v>
      </c>
    </row>
    <row r="294" spans="1:21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5">
        <f>100*Table2[[#This Row],[pledged]]/Table2[[#This Row],[goal]]</f>
        <v>9.8219178082191778</v>
      </c>
      <c r="G294" t="s">
        <v>14</v>
      </c>
      <c r="H294">
        <v>10</v>
      </c>
      <c r="I294" s="4">
        <f>IF(Table2[[#This Row],[pledged]]&gt;0,Table2[[#This Row],[pledged]]/Table2[[#This Row],[backers_count]],0)</f>
        <v>71.7</v>
      </c>
      <c r="J294" t="s">
        <v>21</v>
      </c>
      <c r="K294" t="s">
        <v>22</v>
      </c>
      <c r="L294">
        <v>1331874000</v>
      </c>
      <c r="M294">
        <v>1333429200</v>
      </c>
      <c r="N294" s="8">
        <f t="shared" si="8"/>
        <v>40984.208333333336</v>
      </c>
      <c r="O294" s="8">
        <f t="shared" si="9"/>
        <v>41002.208333333336</v>
      </c>
      <c r="P294" s="5">
        <f>_xlfn.DAYS(Table2[[#This Row],[Date Ended Conversion]],Table2[[#This Row],[Date Created Conversion]])+1</f>
        <v>19</v>
      </c>
      <c r="Q294" t="b">
        <v>0</v>
      </c>
      <c r="R294" t="b">
        <v>0</v>
      </c>
      <c r="S294" t="s">
        <v>17</v>
      </c>
      <c r="T294" t="str">
        <f>_xlfn.TEXTBEFORE(Table2[[#This Row],[category &amp; sub-category]],"/")</f>
        <v>food</v>
      </c>
      <c r="U294" t="str">
        <f>_xlfn.TEXTAFTER(Table2[[#This Row],[category &amp; sub-category]],"/")</f>
        <v>food trucks</v>
      </c>
    </row>
    <row r="295" spans="1:21" ht="17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5">
        <f>100*Table2[[#This Row],[pledged]]/Table2[[#This Row],[goal]]</f>
        <v>16.384615384615383</v>
      </c>
      <c r="G295" t="s">
        <v>74</v>
      </c>
      <c r="H295">
        <v>32</v>
      </c>
      <c r="I295" s="4">
        <f>IF(Table2[[#This Row],[pledged]]&gt;0,Table2[[#This Row],[pledged]]/Table2[[#This Row],[backers_count]],0)</f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8">
        <f t="shared" si="8"/>
        <v>40456.208333333336</v>
      </c>
      <c r="O295" s="8">
        <f t="shared" si="9"/>
        <v>40465.208333333336</v>
      </c>
      <c r="P295" s="5">
        <f>_xlfn.DAYS(Table2[[#This Row],[Date Ended Conversion]],Table2[[#This Row],[Date Created Conversion]])+1</f>
        <v>10</v>
      </c>
      <c r="Q295" t="b">
        <v>0</v>
      </c>
      <c r="R295" t="b">
        <v>0</v>
      </c>
      <c r="S295" t="s">
        <v>33</v>
      </c>
      <c r="T295" t="str">
        <f>_xlfn.TEXTBEFORE(Table2[[#This Row],[category &amp; sub-category]],"/")</f>
        <v>theater</v>
      </c>
      <c r="U295" t="str">
        <f>_xlfn.TEXTAFTER(Table2[[#This Row],[category &amp; sub-category]],"/")</f>
        <v>plays</v>
      </c>
    </row>
    <row r="296" spans="1:21" ht="17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5">
        <f>100*Table2[[#This Row],[pledged]]/Table2[[#This Row],[goal]]</f>
        <v>1339.6666666666667</v>
      </c>
      <c r="G296" t="s">
        <v>20</v>
      </c>
      <c r="H296">
        <v>183</v>
      </c>
      <c r="I296" s="4">
        <f>IF(Table2[[#This Row],[pledged]]&gt;0,Table2[[#This Row],[pledged]]/Table2[[#This Row],[backers_count]],0)</f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8">
        <f t="shared" si="8"/>
        <v>43399.208333333328</v>
      </c>
      <c r="O296" s="8">
        <f t="shared" si="9"/>
        <v>43411.25</v>
      </c>
      <c r="P296" s="5">
        <f>_xlfn.DAYS(Table2[[#This Row],[Date Ended Conversion]],Table2[[#This Row],[Date Created Conversion]])+1</f>
        <v>13</v>
      </c>
      <c r="Q296" t="b">
        <v>0</v>
      </c>
      <c r="R296" t="b">
        <v>0</v>
      </c>
      <c r="S296" t="s">
        <v>33</v>
      </c>
      <c r="T296" t="str">
        <f>_xlfn.TEXTBEFORE(Table2[[#This Row],[category &amp; sub-category]],"/")</f>
        <v>theater</v>
      </c>
      <c r="U296" t="str">
        <f>_xlfn.TEXTAFTER(Table2[[#This Row],[category &amp; sub-category]],"/")</f>
        <v>plays</v>
      </c>
    </row>
    <row r="297" spans="1:21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5">
        <f>100*Table2[[#This Row],[pledged]]/Table2[[#This Row],[goal]]</f>
        <v>35.650077760497666</v>
      </c>
      <c r="G297" t="s">
        <v>14</v>
      </c>
      <c r="H297">
        <v>1910</v>
      </c>
      <c r="I297" s="4">
        <f>IF(Table2[[#This Row],[pledged]]&gt;0,Table2[[#This Row],[pledged]]/Table2[[#This Row],[backers_count]],0)</f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8">
        <f t="shared" si="8"/>
        <v>41562.208333333336</v>
      </c>
      <c r="O297" s="8">
        <f t="shared" si="9"/>
        <v>41587.25</v>
      </c>
      <c r="P297" s="5">
        <f>_xlfn.DAYS(Table2[[#This Row],[Date Ended Conversion]],Table2[[#This Row],[Date Created Conversion]])+1</f>
        <v>26</v>
      </c>
      <c r="Q297" t="b">
        <v>0</v>
      </c>
      <c r="R297" t="b">
        <v>0</v>
      </c>
      <c r="S297" t="s">
        <v>33</v>
      </c>
      <c r="T297" t="str">
        <f>_xlfn.TEXTBEFORE(Table2[[#This Row],[category &amp; sub-category]],"/")</f>
        <v>theater</v>
      </c>
      <c r="U297" t="str">
        <f>_xlfn.TEXTAFTER(Table2[[#This Row],[category &amp; sub-category]],"/")</f>
        <v>plays</v>
      </c>
    </row>
    <row r="298" spans="1:21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5">
        <f>100*Table2[[#This Row],[pledged]]/Table2[[#This Row],[goal]]</f>
        <v>54.950819672131146</v>
      </c>
      <c r="G298" t="s">
        <v>14</v>
      </c>
      <c r="H298">
        <v>38</v>
      </c>
      <c r="I298" s="4">
        <f>IF(Table2[[#This Row],[pledged]]&gt;0,Table2[[#This Row],[pledged]]/Table2[[#This Row],[backers_count]],0)</f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8">
        <f t="shared" si="8"/>
        <v>43493.25</v>
      </c>
      <c r="O298" s="8">
        <f t="shared" si="9"/>
        <v>43515.25</v>
      </c>
      <c r="P298" s="5">
        <f>_xlfn.DAYS(Table2[[#This Row],[Date Ended Conversion]],Table2[[#This Row],[Date Created Conversion]])+1</f>
        <v>23</v>
      </c>
      <c r="Q298" t="b">
        <v>0</v>
      </c>
      <c r="R298" t="b">
        <v>0</v>
      </c>
      <c r="S298" t="s">
        <v>33</v>
      </c>
      <c r="T298" t="str">
        <f>_xlfn.TEXTBEFORE(Table2[[#This Row],[category &amp; sub-category]],"/")</f>
        <v>theater</v>
      </c>
      <c r="U298" t="str">
        <f>_xlfn.TEXTAFTER(Table2[[#This Row],[category &amp; sub-category]],"/")</f>
        <v>plays</v>
      </c>
    </row>
    <row r="299" spans="1:21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5">
        <f>100*Table2[[#This Row],[pledged]]/Table2[[#This Row],[goal]]</f>
        <v>94.236111111111114</v>
      </c>
      <c r="G299" t="s">
        <v>14</v>
      </c>
      <c r="H299">
        <v>104</v>
      </c>
      <c r="I299" s="4">
        <f>IF(Table2[[#This Row],[pledged]]&gt;0,Table2[[#This Row],[pledged]]/Table2[[#This Row],[backers_count]],0)</f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8">
        <f t="shared" si="8"/>
        <v>41653.25</v>
      </c>
      <c r="O299" s="8">
        <f t="shared" si="9"/>
        <v>41662.25</v>
      </c>
      <c r="P299" s="5">
        <f>_xlfn.DAYS(Table2[[#This Row],[Date Ended Conversion]],Table2[[#This Row],[Date Created Conversion]])+1</f>
        <v>10</v>
      </c>
      <c r="Q299" t="b">
        <v>0</v>
      </c>
      <c r="R299" t="b">
        <v>1</v>
      </c>
      <c r="S299" t="s">
        <v>33</v>
      </c>
      <c r="T299" t="str">
        <f>_xlfn.TEXTBEFORE(Table2[[#This Row],[category &amp; sub-category]],"/")</f>
        <v>theater</v>
      </c>
      <c r="U299" t="str">
        <f>_xlfn.TEXTAFTER(Table2[[#This Row],[category &amp; sub-category]],"/")</f>
        <v>plays</v>
      </c>
    </row>
    <row r="300" spans="1:21" ht="17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5">
        <f>100*Table2[[#This Row],[pledged]]/Table2[[#This Row],[goal]]</f>
        <v>143.91428571428571</v>
      </c>
      <c r="G300" t="s">
        <v>20</v>
      </c>
      <c r="H300">
        <v>72</v>
      </c>
      <c r="I300" s="4">
        <f>IF(Table2[[#This Row],[pledged]]&gt;0,Table2[[#This Row],[pledged]]/Table2[[#This Row],[backers_count]],0)</f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8">
        <f t="shared" si="8"/>
        <v>42426.25</v>
      </c>
      <c r="O300" s="8">
        <f t="shared" si="9"/>
        <v>42444.208333333328</v>
      </c>
      <c r="P300" s="5">
        <f>_xlfn.DAYS(Table2[[#This Row],[Date Ended Conversion]],Table2[[#This Row],[Date Created Conversion]])+1</f>
        <v>19</v>
      </c>
      <c r="Q300" t="b">
        <v>0</v>
      </c>
      <c r="R300" t="b">
        <v>1</v>
      </c>
      <c r="S300" t="s">
        <v>23</v>
      </c>
      <c r="T300" t="str">
        <f>_xlfn.TEXTBEFORE(Table2[[#This Row],[category &amp; sub-category]],"/")</f>
        <v>music</v>
      </c>
      <c r="U300" t="str">
        <f>_xlfn.TEXTAFTER(Table2[[#This Row],[category &amp; sub-category]],"/")</f>
        <v>rock</v>
      </c>
    </row>
    <row r="301" spans="1:21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5">
        <f>100*Table2[[#This Row],[pledged]]/Table2[[#This Row],[goal]]</f>
        <v>51.421052631578945</v>
      </c>
      <c r="G301" t="s">
        <v>14</v>
      </c>
      <c r="H301">
        <v>49</v>
      </c>
      <c r="I301" s="4">
        <f>IF(Table2[[#This Row],[pledged]]&gt;0,Table2[[#This Row],[pledged]]/Table2[[#This Row],[backers_count]],0)</f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8">
        <f t="shared" si="8"/>
        <v>42432.25</v>
      </c>
      <c r="O301" s="8">
        <f t="shared" si="9"/>
        <v>42488.208333333328</v>
      </c>
      <c r="P301" s="5">
        <f>_xlfn.DAYS(Table2[[#This Row],[Date Ended Conversion]],Table2[[#This Row],[Date Created Conversion]])+1</f>
        <v>57</v>
      </c>
      <c r="Q301" t="b">
        <v>0</v>
      </c>
      <c r="R301" t="b">
        <v>0</v>
      </c>
      <c r="S301" t="s">
        <v>17</v>
      </c>
      <c r="T301" t="str">
        <f>_xlfn.TEXTBEFORE(Table2[[#This Row],[category &amp; sub-category]],"/")</f>
        <v>food</v>
      </c>
      <c r="U301" t="str">
        <f>_xlfn.TEXTAFTER(Table2[[#This Row],[category &amp; sub-category]],"/")</f>
        <v>food trucks</v>
      </c>
    </row>
    <row r="302" spans="1:21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5">
        <f>100*Table2[[#This Row],[pledged]]/Table2[[#This Row],[goal]]</f>
        <v>5</v>
      </c>
      <c r="G302" t="s">
        <v>14</v>
      </c>
      <c r="H302">
        <v>1</v>
      </c>
      <c r="I302" s="4">
        <f>IF(Table2[[#This Row],[pledged]]&gt;0,Table2[[#This Row],[pledged]]/Table2[[#This Row],[backers_count]],0)</f>
        <v>5</v>
      </c>
      <c r="J302" t="s">
        <v>36</v>
      </c>
      <c r="K302" t="s">
        <v>37</v>
      </c>
      <c r="L302">
        <v>1504069200</v>
      </c>
      <c r="M302">
        <v>1504155600</v>
      </c>
      <c r="N302" s="8">
        <f t="shared" si="8"/>
        <v>42977.208333333328</v>
      </c>
      <c r="O302" s="8">
        <f t="shared" si="9"/>
        <v>42978.208333333328</v>
      </c>
      <c r="P302" s="5">
        <f>_xlfn.DAYS(Table2[[#This Row],[Date Ended Conversion]],Table2[[#This Row],[Date Created Conversion]])+1</f>
        <v>2</v>
      </c>
      <c r="Q302" t="b">
        <v>0</v>
      </c>
      <c r="R302" t="b">
        <v>1</v>
      </c>
      <c r="S302" t="s">
        <v>68</v>
      </c>
      <c r="T302" t="str">
        <f>_xlfn.TEXTBEFORE(Table2[[#This Row],[category &amp; sub-category]],"/")</f>
        <v>publishing</v>
      </c>
      <c r="U302" t="str">
        <f>_xlfn.TEXTAFTER(Table2[[#This Row],[category &amp; sub-category]],"/")</f>
        <v>nonfiction</v>
      </c>
    </row>
    <row r="303" spans="1:21" ht="34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5">
        <f>100*Table2[[#This Row],[pledged]]/Table2[[#This Row],[goal]]</f>
        <v>1344.6666666666667</v>
      </c>
      <c r="G303" t="s">
        <v>20</v>
      </c>
      <c r="H303">
        <v>295</v>
      </c>
      <c r="I303" s="4">
        <f>IF(Table2[[#This Row],[pledged]]&gt;0,Table2[[#This Row],[pledged]]/Table2[[#This Row],[backers_count]],0)</f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8">
        <f t="shared" si="8"/>
        <v>42061.25</v>
      </c>
      <c r="O303" s="8">
        <f t="shared" si="9"/>
        <v>42078.208333333328</v>
      </c>
      <c r="P303" s="5">
        <f>_xlfn.DAYS(Table2[[#This Row],[Date Ended Conversion]],Table2[[#This Row],[Date Created Conversion]])+1</f>
        <v>18</v>
      </c>
      <c r="Q303" t="b">
        <v>0</v>
      </c>
      <c r="R303" t="b">
        <v>0</v>
      </c>
      <c r="S303" t="s">
        <v>42</v>
      </c>
      <c r="T303" t="str">
        <f>_xlfn.TEXTBEFORE(Table2[[#This Row],[category &amp; sub-category]],"/")</f>
        <v>film &amp; video</v>
      </c>
      <c r="U303" t="str">
        <f>_xlfn.TEXTAFTER(Table2[[#This Row],[category &amp; sub-category]],"/")</f>
        <v>documentary</v>
      </c>
    </row>
    <row r="304" spans="1:21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5">
        <f>100*Table2[[#This Row],[pledged]]/Table2[[#This Row],[goal]]</f>
        <v>31.844940867279895</v>
      </c>
      <c r="G304" t="s">
        <v>14</v>
      </c>
      <c r="H304">
        <v>245</v>
      </c>
      <c r="I304" s="4">
        <f>IF(Table2[[#This Row],[pledged]]&gt;0,Table2[[#This Row],[pledged]]/Table2[[#This Row],[backers_count]],0)</f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8">
        <f t="shared" si="8"/>
        <v>43345.208333333328</v>
      </c>
      <c r="O304" s="8">
        <f t="shared" si="9"/>
        <v>43359.208333333328</v>
      </c>
      <c r="P304" s="5">
        <f>_xlfn.DAYS(Table2[[#This Row],[Date Ended Conversion]],Table2[[#This Row],[Date Created Conversion]])+1</f>
        <v>15</v>
      </c>
      <c r="Q304" t="b">
        <v>0</v>
      </c>
      <c r="R304" t="b">
        <v>0</v>
      </c>
      <c r="S304" t="s">
        <v>33</v>
      </c>
      <c r="T304" t="str">
        <f>_xlfn.TEXTBEFORE(Table2[[#This Row],[category &amp; sub-category]],"/")</f>
        <v>theater</v>
      </c>
      <c r="U304" t="str">
        <f>_xlfn.TEXTAFTER(Table2[[#This Row],[category &amp; sub-category]],"/")</f>
        <v>plays</v>
      </c>
    </row>
    <row r="305" spans="1:21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5">
        <f>100*Table2[[#This Row],[pledged]]/Table2[[#This Row],[goal]]</f>
        <v>82.617647058823536</v>
      </c>
      <c r="G305" t="s">
        <v>14</v>
      </c>
      <c r="H305">
        <v>32</v>
      </c>
      <c r="I305" s="4">
        <f>IF(Table2[[#This Row],[pledged]]&gt;0,Table2[[#This Row],[pledged]]/Table2[[#This Row],[backers_count]],0)</f>
        <v>87.78125</v>
      </c>
      <c r="J305" t="s">
        <v>21</v>
      </c>
      <c r="K305" t="s">
        <v>22</v>
      </c>
      <c r="L305">
        <v>1452146400</v>
      </c>
      <c r="M305">
        <v>1452578400</v>
      </c>
      <c r="N305" s="8">
        <f t="shared" si="8"/>
        <v>42376.25</v>
      </c>
      <c r="O305" s="8">
        <f t="shared" si="9"/>
        <v>42381.25</v>
      </c>
      <c r="P305" s="5">
        <f>_xlfn.DAYS(Table2[[#This Row],[Date Ended Conversion]],Table2[[#This Row],[Date Created Conversion]])+1</f>
        <v>6</v>
      </c>
      <c r="Q305" t="b">
        <v>0</v>
      </c>
      <c r="R305" t="b">
        <v>0</v>
      </c>
      <c r="S305" t="s">
        <v>60</v>
      </c>
      <c r="T305" t="str">
        <f>_xlfn.TEXTBEFORE(Table2[[#This Row],[category &amp; sub-category]],"/")</f>
        <v>music</v>
      </c>
      <c r="U305" t="str">
        <f>_xlfn.TEXTAFTER(Table2[[#This Row],[category &amp; sub-category]],"/")</f>
        <v>indie rock</v>
      </c>
    </row>
    <row r="306" spans="1:21" ht="17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5">
        <f>100*Table2[[#This Row],[pledged]]/Table2[[#This Row],[goal]]</f>
        <v>546.14285714285711</v>
      </c>
      <c r="G306" t="s">
        <v>20</v>
      </c>
      <c r="H306">
        <v>142</v>
      </c>
      <c r="I306" s="4">
        <f>IF(Table2[[#This Row],[pledged]]&gt;0,Table2[[#This Row],[pledged]]/Table2[[#This Row],[backers_count]],0)</f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8">
        <f t="shared" si="8"/>
        <v>42589.208333333328</v>
      </c>
      <c r="O306" s="8">
        <f t="shared" si="9"/>
        <v>42630.208333333328</v>
      </c>
      <c r="P306" s="5">
        <f>_xlfn.DAYS(Table2[[#This Row],[Date Ended Conversion]],Table2[[#This Row],[Date Created Conversion]])+1</f>
        <v>42</v>
      </c>
      <c r="Q306" t="b">
        <v>0</v>
      </c>
      <c r="R306" t="b">
        <v>0</v>
      </c>
      <c r="S306" t="s">
        <v>42</v>
      </c>
      <c r="T306" t="str">
        <f>_xlfn.TEXTBEFORE(Table2[[#This Row],[category &amp; sub-category]],"/")</f>
        <v>film &amp; video</v>
      </c>
      <c r="U306" t="str">
        <f>_xlfn.TEXTAFTER(Table2[[#This Row],[category &amp; sub-category]],"/")</f>
        <v>documentary</v>
      </c>
    </row>
    <row r="307" spans="1:21" ht="17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5">
        <f>100*Table2[[#This Row],[pledged]]/Table2[[#This Row],[goal]]</f>
        <v>286.21428571428572</v>
      </c>
      <c r="G307" t="s">
        <v>20</v>
      </c>
      <c r="H307">
        <v>85</v>
      </c>
      <c r="I307" s="4">
        <f>IF(Table2[[#This Row],[pledged]]&gt;0,Table2[[#This Row],[pledged]]/Table2[[#This Row],[backers_count]],0)</f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8">
        <f t="shared" si="8"/>
        <v>42448.208333333328</v>
      </c>
      <c r="O307" s="8">
        <f t="shared" si="9"/>
        <v>42489.208333333328</v>
      </c>
      <c r="P307" s="5">
        <f>_xlfn.DAYS(Table2[[#This Row],[Date Ended Conversion]],Table2[[#This Row],[Date Created Conversion]])+1</f>
        <v>42</v>
      </c>
      <c r="Q307" t="b">
        <v>0</v>
      </c>
      <c r="R307" t="b">
        <v>0</v>
      </c>
      <c r="S307" t="s">
        <v>33</v>
      </c>
      <c r="T307" t="str">
        <f>_xlfn.TEXTBEFORE(Table2[[#This Row],[category &amp; sub-category]],"/")</f>
        <v>theater</v>
      </c>
      <c r="U307" t="str">
        <f>_xlfn.TEXTAFTER(Table2[[#This Row],[category &amp; sub-category]],"/")</f>
        <v>plays</v>
      </c>
    </row>
    <row r="308" spans="1:21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5">
        <f>100*Table2[[#This Row],[pledged]]/Table2[[#This Row],[goal]]</f>
        <v>7.907692307692308</v>
      </c>
      <c r="G308" t="s">
        <v>14</v>
      </c>
      <c r="H308">
        <v>7</v>
      </c>
      <c r="I308" s="4">
        <f>IF(Table2[[#This Row],[pledged]]&gt;0,Table2[[#This Row],[pledged]]/Table2[[#This Row],[backers_count]],0)</f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8">
        <f t="shared" si="8"/>
        <v>42930.208333333328</v>
      </c>
      <c r="O308" s="8">
        <f t="shared" si="9"/>
        <v>42933.208333333328</v>
      </c>
      <c r="P308" s="5">
        <f>_xlfn.DAYS(Table2[[#This Row],[Date Ended Conversion]],Table2[[#This Row],[Date Created Conversion]])+1</f>
        <v>4</v>
      </c>
      <c r="Q308" t="b">
        <v>0</v>
      </c>
      <c r="R308" t="b">
        <v>1</v>
      </c>
      <c r="S308" t="s">
        <v>33</v>
      </c>
      <c r="T308" t="str">
        <f>_xlfn.TEXTBEFORE(Table2[[#This Row],[category &amp; sub-category]],"/")</f>
        <v>theater</v>
      </c>
      <c r="U308" t="str">
        <f>_xlfn.TEXTAFTER(Table2[[#This Row],[category &amp; sub-category]],"/")</f>
        <v>plays</v>
      </c>
    </row>
    <row r="309" spans="1:21" ht="17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5">
        <f>100*Table2[[#This Row],[pledged]]/Table2[[#This Row],[goal]]</f>
        <v>132.13677811550153</v>
      </c>
      <c r="G309" t="s">
        <v>20</v>
      </c>
      <c r="H309">
        <v>659</v>
      </c>
      <c r="I309" s="4">
        <f>IF(Table2[[#This Row],[pledged]]&gt;0,Table2[[#This Row],[pledged]]/Table2[[#This Row],[backers_count]],0)</f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8">
        <f t="shared" si="8"/>
        <v>41066.208333333336</v>
      </c>
      <c r="O309" s="8">
        <f t="shared" si="9"/>
        <v>41086.208333333336</v>
      </c>
      <c r="P309" s="5">
        <f>_xlfn.DAYS(Table2[[#This Row],[Date Ended Conversion]],Table2[[#This Row],[Date Created Conversion]])+1</f>
        <v>21</v>
      </c>
      <c r="Q309" t="b">
        <v>0</v>
      </c>
      <c r="R309" t="b">
        <v>1</v>
      </c>
      <c r="S309" t="s">
        <v>119</v>
      </c>
      <c r="T309" t="str">
        <f>_xlfn.TEXTBEFORE(Table2[[#This Row],[category &amp; sub-category]],"/")</f>
        <v>publishing</v>
      </c>
      <c r="U309" t="str">
        <f>_xlfn.TEXTAFTER(Table2[[#This Row],[category &amp; sub-category]],"/")</f>
        <v>fiction</v>
      </c>
    </row>
    <row r="310" spans="1:21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5">
        <f>100*Table2[[#This Row],[pledged]]/Table2[[#This Row],[goal]]</f>
        <v>74.077834179357026</v>
      </c>
      <c r="G310" t="s">
        <v>14</v>
      </c>
      <c r="H310">
        <v>803</v>
      </c>
      <c r="I310" s="4">
        <f>IF(Table2[[#This Row],[pledged]]&gt;0,Table2[[#This Row],[pledged]]/Table2[[#This Row],[backers_count]],0)</f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8">
        <f t="shared" si="8"/>
        <v>40651.208333333336</v>
      </c>
      <c r="O310" s="8">
        <f t="shared" si="9"/>
        <v>40652.208333333336</v>
      </c>
      <c r="P310" s="5">
        <f>_xlfn.DAYS(Table2[[#This Row],[Date Ended Conversion]],Table2[[#This Row],[Date Created Conversion]])+1</f>
        <v>2</v>
      </c>
      <c r="Q310" t="b">
        <v>0</v>
      </c>
      <c r="R310" t="b">
        <v>0</v>
      </c>
      <c r="S310" t="s">
        <v>33</v>
      </c>
      <c r="T310" t="str">
        <f>_xlfn.TEXTBEFORE(Table2[[#This Row],[category &amp; sub-category]],"/")</f>
        <v>theater</v>
      </c>
      <c r="U310" t="str">
        <f>_xlfn.TEXTAFTER(Table2[[#This Row],[category &amp; sub-category]],"/")</f>
        <v>plays</v>
      </c>
    </row>
    <row r="311" spans="1:21" ht="17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5">
        <f>100*Table2[[#This Row],[pledged]]/Table2[[#This Row],[goal]]</f>
        <v>75.292682926829272</v>
      </c>
      <c r="G311" t="s">
        <v>74</v>
      </c>
      <c r="H311">
        <v>75</v>
      </c>
      <c r="I311" s="4">
        <f>IF(Table2[[#This Row],[pledged]]&gt;0,Table2[[#This Row],[pledged]]/Table2[[#This Row],[backers_count]],0)</f>
        <v>41.16</v>
      </c>
      <c r="J311" t="s">
        <v>21</v>
      </c>
      <c r="K311" t="s">
        <v>22</v>
      </c>
      <c r="L311">
        <v>1316581200</v>
      </c>
      <c r="M311">
        <v>1318309200</v>
      </c>
      <c r="N311" s="8">
        <f t="shared" si="8"/>
        <v>40807.208333333336</v>
      </c>
      <c r="O311" s="8">
        <f t="shared" si="9"/>
        <v>40827.208333333336</v>
      </c>
      <c r="P311" s="5">
        <f>_xlfn.DAYS(Table2[[#This Row],[Date Ended Conversion]],Table2[[#This Row],[Date Created Conversion]])+1</f>
        <v>21</v>
      </c>
      <c r="Q311" t="b">
        <v>0</v>
      </c>
      <c r="R311" t="b">
        <v>1</v>
      </c>
      <c r="S311" t="s">
        <v>60</v>
      </c>
      <c r="T311" t="str">
        <f>_xlfn.TEXTBEFORE(Table2[[#This Row],[category &amp; sub-category]],"/")</f>
        <v>music</v>
      </c>
      <c r="U311" t="str">
        <f>_xlfn.TEXTAFTER(Table2[[#This Row],[category &amp; sub-category]],"/")</f>
        <v>indie rock</v>
      </c>
    </row>
    <row r="312" spans="1:21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5">
        <f>100*Table2[[#This Row],[pledged]]/Table2[[#This Row],[goal]]</f>
        <v>20.333333333333332</v>
      </c>
      <c r="G312" t="s">
        <v>14</v>
      </c>
      <c r="H312">
        <v>16</v>
      </c>
      <c r="I312" s="4">
        <f>IF(Table2[[#This Row],[pledged]]&gt;0,Table2[[#This Row],[pledged]]/Table2[[#This Row],[backers_count]],0)</f>
        <v>99.125</v>
      </c>
      <c r="J312" t="s">
        <v>21</v>
      </c>
      <c r="K312" t="s">
        <v>22</v>
      </c>
      <c r="L312">
        <v>1270789200</v>
      </c>
      <c r="M312">
        <v>1272171600</v>
      </c>
      <c r="N312" s="8">
        <f t="shared" si="8"/>
        <v>40277.208333333336</v>
      </c>
      <c r="O312" s="8">
        <f t="shared" si="9"/>
        <v>40293.208333333336</v>
      </c>
      <c r="P312" s="5">
        <f>_xlfn.DAYS(Table2[[#This Row],[Date Ended Conversion]],Table2[[#This Row],[Date Created Conversion]])+1</f>
        <v>17</v>
      </c>
      <c r="Q312" t="b">
        <v>0</v>
      </c>
      <c r="R312" t="b">
        <v>0</v>
      </c>
      <c r="S312" t="s">
        <v>89</v>
      </c>
      <c r="T312" t="str">
        <f>_xlfn.TEXTBEFORE(Table2[[#This Row],[category &amp; sub-category]],"/")</f>
        <v>games</v>
      </c>
      <c r="U312" t="str">
        <f>_xlfn.TEXTAFTER(Table2[[#This Row],[category &amp; sub-category]],"/")</f>
        <v>video games</v>
      </c>
    </row>
    <row r="313" spans="1:21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5">
        <f>100*Table2[[#This Row],[pledged]]/Table2[[#This Row],[goal]]</f>
        <v>203.36507936507937</v>
      </c>
      <c r="G313" t="s">
        <v>20</v>
      </c>
      <c r="H313">
        <v>121</v>
      </c>
      <c r="I313" s="4">
        <f>IF(Table2[[#This Row],[pledged]]&gt;0,Table2[[#This Row],[pledged]]/Table2[[#This Row],[backers_count]],0)</f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8">
        <f t="shared" si="8"/>
        <v>40590.25</v>
      </c>
      <c r="O313" s="8">
        <f t="shared" si="9"/>
        <v>40602.25</v>
      </c>
      <c r="P313" s="5">
        <f>_xlfn.DAYS(Table2[[#This Row],[Date Ended Conversion]],Table2[[#This Row],[Date Created Conversion]])+1</f>
        <v>13</v>
      </c>
      <c r="Q313" t="b">
        <v>0</v>
      </c>
      <c r="R313" t="b">
        <v>0</v>
      </c>
      <c r="S313" t="s">
        <v>33</v>
      </c>
      <c r="T313" t="str">
        <f>_xlfn.TEXTBEFORE(Table2[[#This Row],[category &amp; sub-category]],"/")</f>
        <v>theater</v>
      </c>
      <c r="U313" t="str">
        <f>_xlfn.TEXTAFTER(Table2[[#This Row],[category &amp; sub-category]],"/")</f>
        <v>plays</v>
      </c>
    </row>
    <row r="314" spans="1:21" ht="17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5">
        <f>100*Table2[[#This Row],[pledged]]/Table2[[#This Row],[goal]]</f>
        <v>310.2284263959391</v>
      </c>
      <c r="G314" t="s">
        <v>20</v>
      </c>
      <c r="H314">
        <v>3742</v>
      </c>
      <c r="I314" s="4">
        <f>IF(Table2[[#This Row],[pledged]]&gt;0,Table2[[#This Row],[pledged]]/Table2[[#This Row],[backers_count]],0)</f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8">
        <f t="shared" si="8"/>
        <v>41572.208333333336</v>
      </c>
      <c r="O314" s="8">
        <f t="shared" si="9"/>
        <v>41579.208333333336</v>
      </c>
      <c r="P314" s="5">
        <f>_xlfn.DAYS(Table2[[#This Row],[Date Ended Conversion]],Table2[[#This Row],[Date Created Conversion]])+1</f>
        <v>8</v>
      </c>
      <c r="Q314" t="b">
        <v>0</v>
      </c>
      <c r="R314" t="b">
        <v>0</v>
      </c>
      <c r="S314" t="s">
        <v>33</v>
      </c>
      <c r="T314" t="str">
        <f>_xlfn.TEXTBEFORE(Table2[[#This Row],[category &amp; sub-category]],"/")</f>
        <v>theater</v>
      </c>
      <c r="U314" t="str">
        <f>_xlfn.TEXTAFTER(Table2[[#This Row],[category &amp; sub-category]],"/")</f>
        <v>plays</v>
      </c>
    </row>
    <row r="315" spans="1:21" ht="17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5">
        <f>100*Table2[[#This Row],[pledged]]/Table2[[#This Row],[goal]]</f>
        <v>395.31818181818181</v>
      </c>
      <c r="G315" t="s">
        <v>20</v>
      </c>
      <c r="H315">
        <v>223</v>
      </c>
      <c r="I315" s="4">
        <f>IF(Table2[[#This Row],[pledged]]&gt;0,Table2[[#This Row],[pledged]]/Table2[[#This Row],[backers_count]],0)</f>
        <v>39</v>
      </c>
      <c r="J315" t="s">
        <v>21</v>
      </c>
      <c r="K315" t="s">
        <v>22</v>
      </c>
      <c r="L315">
        <v>1330322400</v>
      </c>
      <c r="M315">
        <v>1330495200</v>
      </c>
      <c r="N315" s="8">
        <f t="shared" si="8"/>
        <v>40966.25</v>
      </c>
      <c r="O315" s="8">
        <f t="shared" si="9"/>
        <v>40968.25</v>
      </c>
      <c r="P315" s="5">
        <f>_xlfn.DAYS(Table2[[#This Row],[Date Ended Conversion]],Table2[[#This Row],[Date Created Conversion]])+1</f>
        <v>3</v>
      </c>
      <c r="Q315" t="b">
        <v>0</v>
      </c>
      <c r="R315" t="b">
        <v>0</v>
      </c>
      <c r="S315" t="s">
        <v>23</v>
      </c>
      <c r="T315" t="str">
        <f>_xlfn.TEXTBEFORE(Table2[[#This Row],[category &amp; sub-category]],"/")</f>
        <v>music</v>
      </c>
      <c r="U315" t="str">
        <f>_xlfn.TEXTAFTER(Table2[[#This Row],[category &amp; sub-category]],"/")</f>
        <v>rock</v>
      </c>
    </row>
    <row r="316" spans="1:21" ht="17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5">
        <f>100*Table2[[#This Row],[pledged]]/Table2[[#This Row],[goal]]</f>
        <v>294.71428571428572</v>
      </c>
      <c r="G316" t="s">
        <v>20</v>
      </c>
      <c r="H316">
        <v>133</v>
      </c>
      <c r="I316" s="4">
        <f>IF(Table2[[#This Row],[pledged]]&gt;0,Table2[[#This Row],[pledged]]/Table2[[#This Row],[backers_count]],0)</f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8">
        <f t="shared" si="8"/>
        <v>43536.208333333328</v>
      </c>
      <c r="O316" s="8">
        <f t="shared" si="9"/>
        <v>43541.208333333328</v>
      </c>
      <c r="P316" s="5">
        <f>_xlfn.DAYS(Table2[[#This Row],[Date Ended Conversion]],Table2[[#This Row],[Date Created Conversion]])+1</f>
        <v>6</v>
      </c>
      <c r="Q316" t="b">
        <v>0</v>
      </c>
      <c r="R316" t="b">
        <v>1</v>
      </c>
      <c r="S316" t="s">
        <v>42</v>
      </c>
      <c r="T316" t="str">
        <f>_xlfn.TEXTBEFORE(Table2[[#This Row],[category &amp; sub-category]],"/")</f>
        <v>film &amp; video</v>
      </c>
      <c r="U316" t="str">
        <f>_xlfn.TEXTAFTER(Table2[[#This Row],[category &amp; sub-category]],"/")</f>
        <v>documentary</v>
      </c>
    </row>
    <row r="317" spans="1:21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5">
        <f>100*Table2[[#This Row],[pledged]]/Table2[[#This Row],[goal]]</f>
        <v>33.89473684210526</v>
      </c>
      <c r="G317" t="s">
        <v>14</v>
      </c>
      <c r="H317">
        <v>31</v>
      </c>
      <c r="I317" s="4">
        <f>IF(Table2[[#This Row],[pledged]]&gt;0,Table2[[#This Row],[pledged]]/Table2[[#This Row],[backers_count]],0)</f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8">
        <f t="shared" si="8"/>
        <v>41783.208333333336</v>
      </c>
      <c r="O317" s="8">
        <f t="shared" si="9"/>
        <v>41812.208333333336</v>
      </c>
      <c r="P317" s="5">
        <f>_xlfn.DAYS(Table2[[#This Row],[Date Ended Conversion]],Table2[[#This Row],[Date Created Conversion]])+1</f>
        <v>30</v>
      </c>
      <c r="Q317" t="b">
        <v>0</v>
      </c>
      <c r="R317" t="b">
        <v>0</v>
      </c>
      <c r="S317" t="s">
        <v>33</v>
      </c>
      <c r="T317" t="str">
        <f>_xlfn.TEXTBEFORE(Table2[[#This Row],[category &amp; sub-category]],"/")</f>
        <v>theater</v>
      </c>
      <c r="U317" t="str">
        <f>_xlfn.TEXTAFTER(Table2[[#This Row],[category &amp; sub-category]],"/")</f>
        <v>plays</v>
      </c>
    </row>
    <row r="318" spans="1:21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5">
        <f>100*Table2[[#This Row],[pledged]]/Table2[[#This Row],[goal]]</f>
        <v>66.677083333333329</v>
      </c>
      <c r="G318" t="s">
        <v>14</v>
      </c>
      <c r="H318">
        <v>108</v>
      </c>
      <c r="I318" s="4">
        <f>IF(Table2[[#This Row],[pledged]]&gt;0,Table2[[#This Row],[pledged]]/Table2[[#This Row],[backers_count]],0)</f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8">
        <f t="shared" si="8"/>
        <v>43788.25</v>
      </c>
      <c r="O318" s="8">
        <f t="shared" si="9"/>
        <v>43789.25</v>
      </c>
      <c r="P318" s="5">
        <f>_xlfn.DAYS(Table2[[#This Row],[Date Ended Conversion]],Table2[[#This Row],[Date Created Conversion]])+1</f>
        <v>2</v>
      </c>
      <c r="Q318" t="b">
        <v>0</v>
      </c>
      <c r="R318" t="b">
        <v>1</v>
      </c>
      <c r="S318" t="s">
        <v>17</v>
      </c>
      <c r="T318" t="str">
        <f>_xlfn.TEXTBEFORE(Table2[[#This Row],[category &amp; sub-category]],"/")</f>
        <v>food</v>
      </c>
      <c r="U318" t="str">
        <f>_xlfn.TEXTAFTER(Table2[[#This Row],[category &amp; sub-category]],"/")</f>
        <v>food trucks</v>
      </c>
    </row>
    <row r="319" spans="1:21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5">
        <f>100*Table2[[#This Row],[pledged]]/Table2[[#This Row],[goal]]</f>
        <v>19.227272727272727</v>
      </c>
      <c r="G319" t="s">
        <v>14</v>
      </c>
      <c r="H319">
        <v>30</v>
      </c>
      <c r="I319" s="4">
        <f>IF(Table2[[#This Row],[pledged]]&gt;0,Table2[[#This Row],[pledged]]/Table2[[#This Row],[backers_count]],0)</f>
        <v>42.3</v>
      </c>
      <c r="J319" t="s">
        <v>21</v>
      </c>
      <c r="K319" t="s">
        <v>22</v>
      </c>
      <c r="L319">
        <v>1494738000</v>
      </c>
      <c r="M319">
        <v>1495861200</v>
      </c>
      <c r="N319" s="8">
        <f t="shared" si="8"/>
        <v>42869.208333333328</v>
      </c>
      <c r="O319" s="8">
        <f t="shared" si="9"/>
        <v>42882.208333333328</v>
      </c>
      <c r="P319" s="5">
        <f>_xlfn.DAYS(Table2[[#This Row],[Date Ended Conversion]],Table2[[#This Row],[Date Created Conversion]])+1</f>
        <v>14</v>
      </c>
      <c r="Q319" t="b">
        <v>0</v>
      </c>
      <c r="R319" t="b">
        <v>0</v>
      </c>
      <c r="S319" t="s">
        <v>33</v>
      </c>
      <c r="T319" t="str">
        <f>_xlfn.TEXTBEFORE(Table2[[#This Row],[category &amp; sub-category]],"/")</f>
        <v>theater</v>
      </c>
      <c r="U319" t="str">
        <f>_xlfn.TEXTAFTER(Table2[[#This Row],[category &amp; sub-category]],"/")</f>
        <v>plays</v>
      </c>
    </row>
    <row r="320" spans="1:21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5">
        <f>100*Table2[[#This Row],[pledged]]/Table2[[#This Row],[goal]]</f>
        <v>15.842105263157896</v>
      </c>
      <c r="G320" t="s">
        <v>14</v>
      </c>
      <c r="H320">
        <v>17</v>
      </c>
      <c r="I320" s="4">
        <f>IF(Table2[[#This Row],[pledged]]&gt;0,Table2[[#This Row],[pledged]]/Table2[[#This Row],[backers_count]],0)</f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8">
        <f t="shared" si="8"/>
        <v>41684.25</v>
      </c>
      <c r="O320" s="8">
        <f t="shared" si="9"/>
        <v>41686.25</v>
      </c>
      <c r="P320" s="5">
        <f>_xlfn.DAYS(Table2[[#This Row],[Date Ended Conversion]],Table2[[#This Row],[Date Created Conversion]])+1</f>
        <v>3</v>
      </c>
      <c r="Q320" t="b">
        <v>0</v>
      </c>
      <c r="R320" t="b">
        <v>0</v>
      </c>
      <c r="S320" t="s">
        <v>23</v>
      </c>
      <c r="T320" t="str">
        <f>_xlfn.TEXTBEFORE(Table2[[#This Row],[category &amp; sub-category]],"/")</f>
        <v>music</v>
      </c>
      <c r="U320" t="str">
        <f>_xlfn.TEXTAFTER(Table2[[#This Row],[category &amp; sub-category]],"/")</f>
        <v>rock</v>
      </c>
    </row>
    <row r="321" spans="1:21" ht="17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5">
        <f>100*Table2[[#This Row],[pledged]]/Table2[[#This Row],[goal]]</f>
        <v>38.702380952380949</v>
      </c>
      <c r="G321" t="s">
        <v>74</v>
      </c>
      <c r="H321">
        <v>64</v>
      </c>
      <c r="I321" s="4">
        <f>IF(Table2[[#This Row],[pledged]]&gt;0,Table2[[#This Row],[pledged]]/Table2[[#This Row],[backers_count]],0)</f>
        <v>50.796875</v>
      </c>
      <c r="J321" t="s">
        <v>21</v>
      </c>
      <c r="K321" t="s">
        <v>22</v>
      </c>
      <c r="L321">
        <v>1281589200</v>
      </c>
      <c r="M321">
        <v>1283662800</v>
      </c>
      <c r="N321" s="8">
        <f t="shared" si="8"/>
        <v>40402.208333333336</v>
      </c>
      <c r="O321" s="8">
        <f t="shared" si="9"/>
        <v>40426.208333333336</v>
      </c>
      <c r="P321" s="5">
        <f>_xlfn.DAYS(Table2[[#This Row],[Date Ended Conversion]],Table2[[#This Row],[Date Created Conversion]])+1</f>
        <v>25</v>
      </c>
      <c r="Q321" t="b">
        <v>0</v>
      </c>
      <c r="R321" t="b">
        <v>0</v>
      </c>
      <c r="S321" t="s">
        <v>28</v>
      </c>
      <c r="T321" t="str">
        <f>_xlfn.TEXTBEFORE(Table2[[#This Row],[category &amp; sub-category]],"/")</f>
        <v>technology</v>
      </c>
      <c r="U321" t="str">
        <f>_xlfn.TEXTAFTER(Table2[[#This Row],[category &amp; sub-category]],"/")</f>
        <v>web</v>
      </c>
    </row>
    <row r="322" spans="1:21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5">
        <f>100*Table2[[#This Row],[pledged]]/Table2[[#This Row],[goal]]</f>
        <v>9.5876777251184837</v>
      </c>
      <c r="G322" t="s">
        <v>14</v>
      </c>
      <c r="H322">
        <v>80</v>
      </c>
      <c r="I322" s="4">
        <f>IF(Table2[[#This Row],[pledged]]&gt;0,Table2[[#This Row],[pledged]]/Table2[[#This Row],[backers_count]],0)</f>
        <v>101.15</v>
      </c>
      <c r="J322" t="s">
        <v>21</v>
      </c>
      <c r="K322" t="s">
        <v>22</v>
      </c>
      <c r="L322">
        <v>1305003600</v>
      </c>
      <c r="M322">
        <v>1305781200</v>
      </c>
      <c r="N322" s="8">
        <f t="shared" ref="N322:N385" si="10">(((L322/60)/60)/24)+DATE(1970,1,1)</f>
        <v>40673.208333333336</v>
      </c>
      <c r="O322" s="8">
        <f t="shared" ref="O322:O385" si="11">(((M322/60)/60)/24)+DATE(1970,1,1)</f>
        <v>40682.208333333336</v>
      </c>
      <c r="P322" s="5">
        <f>_xlfn.DAYS(Table2[[#This Row],[Date Ended Conversion]],Table2[[#This Row],[Date Created Conversion]])+1</f>
        <v>10</v>
      </c>
      <c r="Q322" t="b">
        <v>0</v>
      </c>
      <c r="R322" t="b">
        <v>0</v>
      </c>
      <c r="S322" t="s">
        <v>119</v>
      </c>
      <c r="T322" t="str">
        <f>_xlfn.TEXTBEFORE(Table2[[#This Row],[category &amp; sub-category]],"/")</f>
        <v>publishing</v>
      </c>
      <c r="U322" t="str">
        <f>_xlfn.TEXTAFTER(Table2[[#This Row],[category &amp; sub-category]],"/")</f>
        <v>fiction</v>
      </c>
    </row>
    <row r="323" spans="1:21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5">
        <f>100*Table2[[#This Row],[pledged]]/Table2[[#This Row],[goal]]</f>
        <v>94.144366197183103</v>
      </c>
      <c r="G323" t="s">
        <v>14</v>
      </c>
      <c r="H323">
        <v>2468</v>
      </c>
      <c r="I323" s="4">
        <f>IF(Table2[[#This Row],[pledged]]&gt;0,Table2[[#This Row],[pledged]]/Table2[[#This Row],[backers_count]],0)</f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8">
        <f t="shared" si="10"/>
        <v>40634.208333333336</v>
      </c>
      <c r="O323" s="8">
        <f t="shared" si="11"/>
        <v>40642.208333333336</v>
      </c>
      <c r="P323" s="5">
        <f>_xlfn.DAYS(Table2[[#This Row],[Date Ended Conversion]],Table2[[#This Row],[Date Created Conversion]])+1</f>
        <v>9</v>
      </c>
      <c r="Q323" t="b">
        <v>0</v>
      </c>
      <c r="R323" t="b">
        <v>0</v>
      </c>
      <c r="S323" t="s">
        <v>100</v>
      </c>
      <c r="T323" t="str">
        <f>_xlfn.TEXTBEFORE(Table2[[#This Row],[category &amp; sub-category]],"/")</f>
        <v>film &amp; video</v>
      </c>
      <c r="U323" t="str">
        <f>_xlfn.TEXTAFTER(Table2[[#This Row],[category &amp; sub-category]],"/")</f>
        <v>shorts</v>
      </c>
    </row>
    <row r="324" spans="1:21" ht="34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5">
        <f>100*Table2[[#This Row],[pledged]]/Table2[[#This Row],[goal]]</f>
        <v>166.56234096692111</v>
      </c>
      <c r="G324" t="s">
        <v>20</v>
      </c>
      <c r="H324">
        <v>5168</v>
      </c>
      <c r="I324" s="4">
        <f>IF(Table2[[#This Row],[pledged]]&gt;0,Table2[[#This Row],[pledged]]/Table2[[#This Row],[backers_count]],0)</f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8">
        <f t="shared" si="10"/>
        <v>40507.25</v>
      </c>
      <c r="O324" s="8">
        <f t="shared" si="11"/>
        <v>40520.25</v>
      </c>
      <c r="P324" s="5">
        <f>_xlfn.DAYS(Table2[[#This Row],[Date Ended Conversion]],Table2[[#This Row],[Date Created Conversion]])+1</f>
        <v>14</v>
      </c>
      <c r="Q324" t="b">
        <v>0</v>
      </c>
      <c r="R324" t="b">
        <v>0</v>
      </c>
      <c r="S324" t="s">
        <v>33</v>
      </c>
      <c r="T324" t="str">
        <f>_xlfn.TEXTBEFORE(Table2[[#This Row],[category &amp; sub-category]],"/")</f>
        <v>theater</v>
      </c>
      <c r="U324" t="str">
        <f>_xlfn.TEXTAFTER(Table2[[#This Row],[category &amp; sub-category]],"/")</f>
        <v>plays</v>
      </c>
    </row>
    <row r="325" spans="1:21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5">
        <f>100*Table2[[#This Row],[pledged]]/Table2[[#This Row],[goal]]</f>
        <v>24.134831460674157</v>
      </c>
      <c r="G325" t="s">
        <v>14</v>
      </c>
      <c r="H325">
        <v>26</v>
      </c>
      <c r="I325" s="4">
        <f>IF(Table2[[#This Row],[pledged]]&gt;0,Table2[[#This Row],[pledged]]/Table2[[#This Row],[backers_count]],0)</f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8">
        <f t="shared" si="10"/>
        <v>41725.208333333336</v>
      </c>
      <c r="O325" s="8">
        <f t="shared" si="11"/>
        <v>41727.208333333336</v>
      </c>
      <c r="P325" s="5">
        <f>_xlfn.DAYS(Table2[[#This Row],[Date Ended Conversion]],Table2[[#This Row],[Date Created Conversion]])+1</f>
        <v>3</v>
      </c>
      <c r="Q325" t="b">
        <v>0</v>
      </c>
      <c r="R325" t="b">
        <v>0</v>
      </c>
      <c r="S325" t="s">
        <v>42</v>
      </c>
      <c r="T325" t="str">
        <f>_xlfn.TEXTBEFORE(Table2[[#This Row],[category &amp; sub-category]],"/")</f>
        <v>film &amp; video</v>
      </c>
      <c r="U325" t="str">
        <f>_xlfn.TEXTAFTER(Table2[[#This Row],[category &amp; sub-category]],"/")</f>
        <v>documentary</v>
      </c>
    </row>
    <row r="326" spans="1:21" ht="17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5">
        <f>100*Table2[[#This Row],[pledged]]/Table2[[#This Row],[goal]]</f>
        <v>164.05633802816902</v>
      </c>
      <c r="G326" t="s">
        <v>20</v>
      </c>
      <c r="H326">
        <v>307</v>
      </c>
      <c r="I326" s="4">
        <f>IF(Table2[[#This Row],[pledged]]&gt;0,Table2[[#This Row],[pledged]]/Table2[[#This Row],[backers_count]],0)</f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8">
        <f t="shared" si="10"/>
        <v>42176.208333333328</v>
      </c>
      <c r="O326" s="8">
        <f t="shared" si="11"/>
        <v>42188.208333333328</v>
      </c>
      <c r="P326" s="5">
        <f>_xlfn.DAYS(Table2[[#This Row],[Date Ended Conversion]],Table2[[#This Row],[Date Created Conversion]])+1</f>
        <v>13</v>
      </c>
      <c r="Q326" t="b">
        <v>0</v>
      </c>
      <c r="R326" t="b">
        <v>1</v>
      </c>
      <c r="S326" t="s">
        <v>33</v>
      </c>
      <c r="T326" t="str">
        <f>_xlfn.TEXTBEFORE(Table2[[#This Row],[category &amp; sub-category]],"/")</f>
        <v>theater</v>
      </c>
      <c r="U326" t="str">
        <f>_xlfn.TEXTAFTER(Table2[[#This Row],[category &amp; sub-category]],"/")</f>
        <v>plays</v>
      </c>
    </row>
    <row r="327" spans="1:21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5">
        <f>100*Table2[[#This Row],[pledged]]/Table2[[#This Row],[goal]]</f>
        <v>90.723076923076917</v>
      </c>
      <c r="G327" t="s">
        <v>14</v>
      </c>
      <c r="H327">
        <v>73</v>
      </c>
      <c r="I327" s="4">
        <f>IF(Table2[[#This Row],[pledged]]&gt;0,Table2[[#This Row],[pledged]]/Table2[[#This Row],[backers_count]],0)</f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8">
        <f t="shared" si="10"/>
        <v>43267.208333333328</v>
      </c>
      <c r="O327" s="8">
        <f t="shared" si="11"/>
        <v>43290.208333333328</v>
      </c>
      <c r="P327" s="5">
        <f>_xlfn.DAYS(Table2[[#This Row],[Date Ended Conversion]],Table2[[#This Row],[Date Created Conversion]])+1</f>
        <v>24</v>
      </c>
      <c r="Q327" t="b">
        <v>0</v>
      </c>
      <c r="R327" t="b">
        <v>1</v>
      </c>
      <c r="S327" t="s">
        <v>33</v>
      </c>
      <c r="T327" t="str">
        <f>_xlfn.TEXTBEFORE(Table2[[#This Row],[category &amp; sub-category]],"/")</f>
        <v>theater</v>
      </c>
      <c r="U327" t="str">
        <f>_xlfn.TEXTAFTER(Table2[[#This Row],[category &amp; sub-category]],"/")</f>
        <v>plays</v>
      </c>
    </row>
    <row r="328" spans="1:21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5">
        <f>100*Table2[[#This Row],[pledged]]/Table2[[#This Row],[goal]]</f>
        <v>46.194444444444443</v>
      </c>
      <c r="G328" t="s">
        <v>14</v>
      </c>
      <c r="H328">
        <v>128</v>
      </c>
      <c r="I328" s="4">
        <f>IF(Table2[[#This Row],[pledged]]&gt;0,Table2[[#This Row],[pledged]]/Table2[[#This Row],[backers_count]],0)</f>
        <v>25.984375</v>
      </c>
      <c r="J328" t="s">
        <v>21</v>
      </c>
      <c r="K328" t="s">
        <v>22</v>
      </c>
      <c r="L328">
        <v>1451109600</v>
      </c>
      <c r="M328">
        <v>1451628000</v>
      </c>
      <c r="N328" s="8">
        <f t="shared" si="10"/>
        <v>42364.25</v>
      </c>
      <c r="O328" s="8">
        <f t="shared" si="11"/>
        <v>42370.25</v>
      </c>
      <c r="P328" s="5">
        <f>_xlfn.DAYS(Table2[[#This Row],[Date Ended Conversion]],Table2[[#This Row],[Date Created Conversion]])+1</f>
        <v>7</v>
      </c>
      <c r="Q328" t="b">
        <v>0</v>
      </c>
      <c r="R328" t="b">
        <v>0</v>
      </c>
      <c r="S328" t="s">
        <v>71</v>
      </c>
      <c r="T328" t="str">
        <f>_xlfn.TEXTBEFORE(Table2[[#This Row],[category &amp; sub-category]],"/")</f>
        <v>film &amp; video</v>
      </c>
      <c r="U328" t="str">
        <f>_xlfn.TEXTAFTER(Table2[[#This Row],[category &amp; sub-category]],"/")</f>
        <v>animation</v>
      </c>
    </row>
    <row r="329" spans="1:21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5">
        <f>100*Table2[[#This Row],[pledged]]/Table2[[#This Row],[goal]]</f>
        <v>38.53846153846154</v>
      </c>
      <c r="G329" t="s">
        <v>14</v>
      </c>
      <c r="H329">
        <v>33</v>
      </c>
      <c r="I329" s="4">
        <f>IF(Table2[[#This Row],[pledged]]&gt;0,Table2[[#This Row],[pledged]]/Table2[[#This Row],[backers_count]],0)</f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8">
        <f t="shared" si="10"/>
        <v>43705.208333333328</v>
      </c>
      <c r="O329" s="8">
        <f t="shared" si="11"/>
        <v>43709.208333333328</v>
      </c>
      <c r="P329" s="5">
        <f>_xlfn.DAYS(Table2[[#This Row],[Date Ended Conversion]],Table2[[#This Row],[Date Created Conversion]])+1</f>
        <v>5</v>
      </c>
      <c r="Q329" t="b">
        <v>0</v>
      </c>
      <c r="R329" t="b">
        <v>1</v>
      </c>
      <c r="S329" t="s">
        <v>33</v>
      </c>
      <c r="T329" t="str">
        <f>_xlfn.TEXTBEFORE(Table2[[#This Row],[category &amp; sub-category]],"/")</f>
        <v>theater</v>
      </c>
      <c r="U329" t="str">
        <f>_xlfn.TEXTAFTER(Table2[[#This Row],[category &amp; sub-category]],"/")</f>
        <v>plays</v>
      </c>
    </row>
    <row r="330" spans="1:21" ht="34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5">
        <f>100*Table2[[#This Row],[pledged]]/Table2[[#This Row],[goal]]</f>
        <v>133.56231003039514</v>
      </c>
      <c r="G330" t="s">
        <v>20</v>
      </c>
      <c r="H330">
        <v>2441</v>
      </c>
      <c r="I330" s="4">
        <f>IF(Table2[[#This Row],[pledged]]&gt;0,Table2[[#This Row],[pledged]]/Table2[[#This Row],[backers_count]],0)</f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8">
        <f t="shared" si="10"/>
        <v>43434.25</v>
      </c>
      <c r="O330" s="8">
        <f t="shared" si="11"/>
        <v>43445.25</v>
      </c>
      <c r="P330" s="5">
        <f>_xlfn.DAYS(Table2[[#This Row],[Date Ended Conversion]],Table2[[#This Row],[Date Created Conversion]])+1</f>
        <v>12</v>
      </c>
      <c r="Q330" t="b">
        <v>0</v>
      </c>
      <c r="R330" t="b">
        <v>0</v>
      </c>
      <c r="S330" t="s">
        <v>23</v>
      </c>
      <c r="T330" t="str">
        <f>_xlfn.TEXTBEFORE(Table2[[#This Row],[category &amp; sub-category]],"/")</f>
        <v>music</v>
      </c>
      <c r="U330" t="str">
        <f>_xlfn.TEXTAFTER(Table2[[#This Row],[category &amp; sub-category]],"/")</f>
        <v>rock</v>
      </c>
    </row>
    <row r="331" spans="1:21" ht="17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5">
        <f>100*Table2[[#This Row],[pledged]]/Table2[[#This Row],[goal]]</f>
        <v>22.896588486140725</v>
      </c>
      <c r="G331" t="s">
        <v>47</v>
      </c>
      <c r="H331">
        <v>211</v>
      </c>
      <c r="I331" s="4">
        <f>IF(Table2[[#This Row],[pledged]]&gt;0,Table2[[#This Row],[pledged]]/Table2[[#This Row],[backers_count]],0)</f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8">
        <f t="shared" si="10"/>
        <v>42716.25</v>
      </c>
      <c r="O331" s="8">
        <f t="shared" si="11"/>
        <v>42727.25</v>
      </c>
      <c r="P331" s="5">
        <f>_xlfn.DAYS(Table2[[#This Row],[Date Ended Conversion]],Table2[[#This Row],[Date Created Conversion]])+1</f>
        <v>12</v>
      </c>
      <c r="Q331" t="b">
        <v>0</v>
      </c>
      <c r="R331" t="b">
        <v>0</v>
      </c>
      <c r="S331" t="s">
        <v>89</v>
      </c>
      <c r="T331" t="str">
        <f>_xlfn.TEXTBEFORE(Table2[[#This Row],[category &amp; sub-category]],"/")</f>
        <v>games</v>
      </c>
      <c r="U331" t="str">
        <f>_xlfn.TEXTAFTER(Table2[[#This Row],[category &amp; sub-category]],"/")</f>
        <v>video games</v>
      </c>
    </row>
    <row r="332" spans="1:21" ht="34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5">
        <f>100*Table2[[#This Row],[pledged]]/Table2[[#This Row],[goal]]</f>
        <v>184.95548961424333</v>
      </c>
      <c r="G332" t="s">
        <v>20</v>
      </c>
      <c r="H332">
        <v>1385</v>
      </c>
      <c r="I332" s="4">
        <f>IF(Table2[[#This Row],[pledged]]&gt;0,Table2[[#This Row],[pledged]]/Table2[[#This Row],[backers_count]],0)</f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8">
        <f t="shared" si="10"/>
        <v>43077.25</v>
      </c>
      <c r="O332" s="8">
        <f t="shared" si="11"/>
        <v>43078.25</v>
      </c>
      <c r="P332" s="5">
        <f>_xlfn.DAYS(Table2[[#This Row],[Date Ended Conversion]],Table2[[#This Row],[Date Created Conversion]])+1</f>
        <v>2</v>
      </c>
      <c r="Q332" t="b">
        <v>0</v>
      </c>
      <c r="R332" t="b">
        <v>0</v>
      </c>
      <c r="S332" t="s">
        <v>42</v>
      </c>
      <c r="T332" t="str">
        <f>_xlfn.TEXTBEFORE(Table2[[#This Row],[category &amp; sub-category]],"/")</f>
        <v>film &amp; video</v>
      </c>
      <c r="U332" t="str">
        <f>_xlfn.TEXTAFTER(Table2[[#This Row],[category &amp; sub-category]],"/")</f>
        <v>documentary</v>
      </c>
    </row>
    <row r="333" spans="1:21" ht="17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5">
        <f>100*Table2[[#This Row],[pledged]]/Table2[[#This Row],[goal]]</f>
        <v>443.72727272727275</v>
      </c>
      <c r="G333" t="s">
        <v>20</v>
      </c>
      <c r="H333">
        <v>190</v>
      </c>
      <c r="I333" s="4">
        <f>IF(Table2[[#This Row],[pledged]]&gt;0,Table2[[#This Row],[pledged]]/Table2[[#This Row],[backers_count]],0)</f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8">
        <f t="shared" si="10"/>
        <v>40896.25</v>
      </c>
      <c r="O333" s="8">
        <f t="shared" si="11"/>
        <v>40897.25</v>
      </c>
      <c r="P333" s="5">
        <f>_xlfn.DAYS(Table2[[#This Row],[Date Ended Conversion]],Table2[[#This Row],[Date Created Conversion]])+1</f>
        <v>2</v>
      </c>
      <c r="Q333" t="b">
        <v>0</v>
      </c>
      <c r="R333" t="b">
        <v>0</v>
      </c>
      <c r="S333" t="s">
        <v>17</v>
      </c>
      <c r="T333" t="str">
        <f>_xlfn.TEXTBEFORE(Table2[[#This Row],[category &amp; sub-category]],"/")</f>
        <v>food</v>
      </c>
      <c r="U333" t="str">
        <f>_xlfn.TEXTAFTER(Table2[[#This Row],[category &amp; sub-category]],"/")</f>
        <v>food trucks</v>
      </c>
    </row>
    <row r="334" spans="1:21" ht="34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5">
        <f>100*Table2[[#This Row],[pledged]]/Table2[[#This Row],[goal]]</f>
        <v>199.98067632850243</v>
      </c>
      <c r="G334" t="s">
        <v>20</v>
      </c>
      <c r="H334">
        <v>470</v>
      </c>
      <c r="I334" s="4">
        <f>IF(Table2[[#This Row],[pledged]]&gt;0,Table2[[#This Row],[pledged]]/Table2[[#This Row],[backers_count]],0)</f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8">
        <f t="shared" si="10"/>
        <v>41361.208333333336</v>
      </c>
      <c r="O334" s="8">
        <f t="shared" si="11"/>
        <v>41362.208333333336</v>
      </c>
      <c r="P334" s="5">
        <f>_xlfn.DAYS(Table2[[#This Row],[Date Ended Conversion]],Table2[[#This Row],[Date Created Conversion]])+1</f>
        <v>2</v>
      </c>
      <c r="Q334" t="b">
        <v>0</v>
      </c>
      <c r="R334" t="b">
        <v>0</v>
      </c>
      <c r="S334" t="s">
        <v>65</v>
      </c>
      <c r="T334" t="str">
        <f>_xlfn.TEXTBEFORE(Table2[[#This Row],[category &amp; sub-category]],"/")</f>
        <v>technology</v>
      </c>
      <c r="U334" t="str">
        <f>_xlfn.TEXTAFTER(Table2[[#This Row],[category &amp; sub-category]],"/")</f>
        <v>wearables</v>
      </c>
    </row>
    <row r="335" spans="1:21" ht="17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5">
        <f>100*Table2[[#This Row],[pledged]]/Table2[[#This Row],[goal]]</f>
        <v>123.95833333333333</v>
      </c>
      <c r="G335" t="s">
        <v>20</v>
      </c>
      <c r="H335">
        <v>253</v>
      </c>
      <c r="I335" s="4">
        <f>IF(Table2[[#This Row],[pledged]]&gt;0,Table2[[#This Row],[pledged]]/Table2[[#This Row],[backers_count]],0)</f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8">
        <f t="shared" si="10"/>
        <v>43424.25</v>
      </c>
      <c r="O335" s="8">
        <f t="shared" si="11"/>
        <v>43452.25</v>
      </c>
      <c r="P335" s="5">
        <f>_xlfn.DAYS(Table2[[#This Row],[Date Ended Conversion]],Table2[[#This Row],[Date Created Conversion]])+1</f>
        <v>29</v>
      </c>
      <c r="Q335" t="b">
        <v>0</v>
      </c>
      <c r="R335" t="b">
        <v>0</v>
      </c>
      <c r="S335" t="s">
        <v>33</v>
      </c>
      <c r="T335" t="str">
        <f>_xlfn.TEXTBEFORE(Table2[[#This Row],[category &amp; sub-category]],"/")</f>
        <v>theater</v>
      </c>
      <c r="U335" t="str">
        <f>_xlfn.TEXTAFTER(Table2[[#This Row],[category &amp; sub-category]],"/")</f>
        <v>plays</v>
      </c>
    </row>
    <row r="336" spans="1:21" ht="17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5">
        <f>100*Table2[[#This Row],[pledged]]/Table2[[#This Row],[goal]]</f>
        <v>186.61329305135951</v>
      </c>
      <c r="G336" t="s">
        <v>20</v>
      </c>
      <c r="H336">
        <v>1113</v>
      </c>
      <c r="I336" s="4">
        <f>IF(Table2[[#This Row],[pledged]]&gt;0,Table2[[#This Row],[pledged]]/Table2[[#This Row],[backers_count]],0)</f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8">
        <f t="shared" si="10"/>
        <v>43110.25</v>
      </c>
      <c r="O336" s="8">
        <f t="shared" si="11"/>
        <v>43117.25</v>
      </c>
      <c r="P336" s="5">
        <f>_xlfn.DAYS(Table2[[#This Row],[Date Ended Conversion]],Table2[[#This Row],[Date Created Conversion]])+1</f>
        <v>8</v>
      </c>
      <c r="Q336" t="b">
        <v>0</v>
      </c>
      <c r="R336" t="b">
        <v>0</v>
      </c>
      <c r="S336" t="s">
        <v>23</v>
      </c>
      <c r="T336" t="str">
        <f>_xlfn.TEXTBEFORE(Table2[[#This Row],[category &amp; sub-category]],"/")</f>
        <v>music</v>
      </c>
      <c r="U336" t="str">
        <f>_xlfn.TEXTAFTER(Table2[[#This Row],[category &amp; sub-category]],"/")</f>
        <v>rock</v>
      </c>
    </row>
    <row r="337" spans="1:21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5">
        <f>100*Table2[[#This Row],[pledged]]/Table2[[#This Row],[goal]]</f>
        <v>114.28538550057537</v>
      </c>
      <c r="G337" t="s">
        <v>20</v>
      </c>
      <c r="H337">
        <v>2283</v>
      </c>
      <c r="I337" s="4">
        <f>IF(Table2[[#This Row],[pledged]]&gt;0,Table2[[#This Row],[pledged]]/Table2[[#This Row],[backers_count]],0)</f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8">
        <f t="shared" si="10"/>
        <v>43784.25</v>
      </c>
      <c r="O337" s="8">
        <f t="shared" si="11"/>
        <v>43797.25</v>
      </c>
      <c r="P337" s="5">
        <f>_xlfn.DAYS(Table2[[#This Row],[Date Ended Conversion]],Table2[[#This Row],[Date Created Conversion]])+1</f>
        <v>14</v>
      </c>
      <c r="Q337" t="b">
        <v>0</v>
      </c>
      <c r="R337" t="b">
        <v>0</v>
      </c>
      <c r="S337" t="s">
        <v>23</v>
      </c>
      <c r="T337" t="str">
        <f>_xlfn.TEXTBEFORE(Table2[[#This Row],[category &amp; sub-category]],"/")</f>
        <v>music</v>
      </c>
      <c r="U337" t="str">
        <f>_xlfn.TEXTAFTER(Table2[[#This Row],[category &amp; sub-category]],"/")</f>
        <v>rock</v>
      </c>
    </row>
    <row r="338" spans="1:21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5">
        <f>100*Table2[[#This Row],[pledged]]/Table2[[#This Row],[goal]]</f>
        <v>97.032531824611027</v>
      </c>
      <c r="G338" t="s">
        <v>14</v>
      </c>
      <c r="H338">
        <v>1072</v>
      </c>
      <c r="I338" s="4">
        <f>IF(Table2[[#This Row],[pledged]]&gt;0,Table2[[#This Row],[pledged]]/Table2[[#This Row],[backers_count]],0)</f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8">
        <f t="shared" si="10"/>
        <v>40527.25</v>
      </c>
      <c r="O338" s="8">
        <f t="shared" si="11"/>
        <v>40528.25</v>
      </c>
      <c r="P338" s="5">
        <f>_xlfn.DAYS(Table2[[#This Row],[Date Ended Conversion]],Table2[[#This Row],[Date Created Conversion]])+1</f>
        <v>2</v>
      </c>
      <c r="Q338" t="b">
        <v>0</v>
      </c>
      <c r="R338" t="b">
        <v>1</v>
      </c>
      <c r="S338" t="s">
        <v>23</v>
      </c>
      <c r="T338" t="str">
        <f>_xlfn.TEXTBEFORE(Table2[[#This Row],[category &amp; sub-category]],"/")</f>
        <v>music</v>
      </c>
      <c r="U338" t="str">
        <f>_xlfn.TEXTAFTER(Table2[[#This Row],[category &amp; sub-category]],"/")</f>
        <v>rock</v>
      </c>
    </row>
    <row r="339" spans="1:21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5">
        <f>100*Table2[[#This Row],[pledged]]/Table2[[#This Row],[goal]]</f>
        <v>122.81904761904762</v>
      </c>
      <c r="G339" t="s">
        <v>20</v>
      </c>
      <c r="H339">
        <v>1095</v>
      </c>
      <c r="I339" s="4">
        <f>IF(Table2[[#This Row],[pledged]]&gt;0,Table2[[#This Row],[pledged]]/Table2[[#This Row],[backers_count]],0)</f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8">
        <f t="shared" si="10"/>
        <v>43780.25</v>
      </c>
      <c r="O339" s="8">
        <f t="shared" si="11"/>
        <v>43781.25</v>
      </c>
      <c r="P339" s="5">
        <f>_xlfn.DAYS(Table2[[#This Row],[Date Ended Conversion]],Table2[[#This Row],[Date Created Conversion]])+1</f>
        <v>2</v>
      </c>
      <c r="Q339" t="b">
        <v>0</v>
      </c>
      <c r="R339" t="b">
        <v>0</v>
      </c>
      <c r="S339" t="s">
        <v>33</v>
      </c>
      <c r="T339" t="str">
        <f>_xlfn.TEXTBEFORE(Table2[[#This Row],[category &amp; sub-category]],"/")</f>
        <v>theater</v>
      </c>
      <c r="U339" t="str">
        <f>_xlfn.TEXTAFTER(Table2[[#This Row],[category &amp; sub-category]],"/")</f>
        <v>plays</v>
      </c>
    </row>
    <row r="340" spans="1:21" ht="17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5">
        <f>100*Table2[[#This Row],[pledged]]/Table2[[#This Row],[goal]]</f>
        <v>179.14326647564471</v>
      </c>
      <c r="G340" t="s">
        <v>20</v>
      </c>
      <c r="H340">
        <v>1690</v>
      </c>
      <c r="I340" s="4">
        <f>IF(Table2[[#This Row],[pledged]]&gt;0,Table2[[#This Row],[pledged]]/Table2[[#This Row],[backers_count]],0)</f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8">
        <f t="shared" si="10"/>
        <v>40821.208333333336</v>
      </c>
      <c r="O340" s="8">
        <f t="shared" si="11"/>
        <v>40851.208333333336</v>
      </c>
      <c r="P340" s="5">
        <f>_xlfn.DAYS(Table2[[#This Row],[Date Ended Conversion]],Table2[[#This Row],[Date Created Conversion]])+1</f>
        <v>31</v>
      </c>
      <c r="Q340" t="b">
        <v>0</v>
      </c>
      <c r="R340" t="b">
        <v>0</v>
      </c>
      <c r="S340" t="s">
        <v>33</v>
      </c>
      <c r="T340" t="str">
        <f>_xlfn.TEXTBEFORE(Table2[[#This Row],[category &amp; sub-category]],"/")</f>
        <v>theater</v>
      </c>
      <c r="U340" t="str">
        <f>_xlfn.TEXTAFTER(Table2[[#This Row],[category &amp; sub-category]],"/")</f>
        <v>plays</v>
      </c>
    </row>
    <row r="341" spans="1:21" ht="17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5">
        <f>100*Table2[[#This Row],[pledged]]/Table2[[#This Row],[goal]]</f>
        <v>79.951577402787962</v>
      </c>
      <c r="G341" t="s">
        <v>74</v>
      </c>
      <c r="H341">
        <v>1297</v>
      </c>
      <c r="I341" s="4">
        <f>IF(Table2[[#This Row],[pledged]]&gt;0,Table2[[#This Row],[pledged]]/Table2[[#This Row],[backers_count]],0)</f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8">
        <f t="shared" si="10"/>
        <v>42949.208333333328</v>
      </c>
      <c r="O341" s="8">
        <f t="shared" si="11"/>
        <v>42963.208333333328</v>
      </c>
      <c r="P341" s="5">
        <f>_xlfn.DAYS(Table2[[#This Row],[Date Ended Conversion]],Table2[[#This Row],[Date Created Conversion]])+1</f>
        <v>15</v>
      </c>
      <c r="Q341" t="b">
        <v>0</v>
      </c>
      <c r="R341" t="b">
        <v>0</v>
      </c>
      <c r="S341" t="s">
        <v>33</v>
      </c>
      <c r="T341" t="str">
        <f>_xlfn.TEXTBEFORE(Table2[[#This Row],[category &amp; sub-category]],"/")</f>
        <v>theater</v>
      </c>
      <c r="U341" t="str">
        <f>_xlfn.TEXTAFTER(Table2[[#This Row],[category &amp; sub-category]],"/")</f>
        <v>plays</v>
      </c>
    </row>
    <row r="342" spans="1:21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5">
        <f>100*Table2[[#This Row],[pledged]]/Table2[[#This Row],[goal]]</f>
        <v>94.242587601078171</v>
      </c>
      <c r="G342" t="s">
        <v>14</v>
      </c>
      <c r="H342">
        <v>393</v>
      </c>
      <c r="I342" s="4">
        <f>IF(Table2[[#This Row],[pledged]]&gt;0,Table2[[#This Row],[pledged]]/Table2[[#This Row],[backers_count]],0)</f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8">
        <f t="shared" si="10"/>
        <v>40889.25</v>
      </c>
      <c r="O342" s="8">
        <f t="shared" si="11"/>
        <v>40890.25</v>
      </c>
      <c r="P342" s="5">
        <f>_xlfn.DAYS(Table2[[#This Row],[Date Ended Conversion]],Table2[[#This Row],[Date Created Conversion]])+1</f>
        <v>2</v>
      </c>
      <c r="Q342" t="b">
        <v>0</v>
      </c>
      <c r="R342" t="b">
        <v>0</v>
      </c>
      <c r="S342" t="s">
        <v>122</v>
      </c>
      <c r="T342" t="str">
        <f>_xlfn.TEXTBEFORE(Table2[[#This Row],[category &amp; sub-category]],"/")</f>
        <v>photography</v>
      </c>
      <c r="U342" t="str">
        <f>_xlfn.TEXTAFTER(Table2[[#This Row],[category &amp; sub-category]],"/")</f>
        <v>photography books</v>
      </c>
    </row>
    <row r="343" spans="1:21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5">
        <f>100*Table2[[#This Row],[pledged]]/Table2[[#This Row],[goal]]</f>
        <v>84.669291338582681</v>
      </c>
      <c r="G343" t="s">
        <v>14</v>
      </c>
      <c r="H343">
        <v>1257</v>
      </c>
      <c r="I343" s="4">
        <f>IF(Table2[[#This Row],[pledged]]&gt;0,Table2[[#This Row],[pledged]]/Table2[[#This Row],[backers_count]],0)</f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8">
        <f t="shared" si="10"/>
        <v>42244.208333333328</v>
      </c>
      <c r="O343" s="8">
        <f t="shared" si="11"/>
        <v>42251.208333333328</v>
      </c>
      <c r="P343" s="5">
        <f>_xlfn.DAYS(Table2[[#This Row],[Date Ended Conversion]],Table2[[#This Row],[Date Created Conversion]])+1</f>
        <v>8</v>
      </c>
      <c r="Q343" t="b">
        <v>0</v>
      </c>
      <c r="R343" t="b">
        <v>0</v>
      </c>
      <c r="S343" t="s">
        <v>60</v>
      </c>
      <c r="T343" t="str">
        <f>_xlfn.TEXTBEFORE(Table2[[#This Row],[category &amp; sub-category]],"/")</f>
        <v>music</v>
      </c>
      <c r="U343" t="str">
        <f>_xlfn.TEXTAFTER(Table2[[#This Row],[category &amp; sub-category]],"/")</f>
        <v>indie rock</v>
      </c>
    </row>
    <row r="344" spans="1:21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5">
        <f>100*Table2[[#This Row],[pledged]]/Table2[[#This Row],[goal]]</f>
        <v>66.521920668058456</v>
      </c>
      <c r="G344" t="s">
        <v>14</v>
      </c>
      <c r="H344">
        <v>328</v>
      </c>
      <c r="I344" s="4">
        <f>IF(Table2[[#This Row],[pledged]]&gt;0,Table2[[#This Row],[pledged]]/Table2[[#This Row],[backers_count]],0)</f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8">
        <f t="shared" si="10"/>
        <v>41475.208333333336</v>
      </c>
      <c r="O344" s="8">
        <f t="shared" si="11"/>
        <v>41487.208333333336</v>
      </c>
      <c r="P344" s="5">
        <f>_xlfn.DAYS(Table2[[#This Row],[Date Ended Conversion]],Table2[[#This Row],[Date Created Conversion]])+1</f>
        <v>13</v>
      </c>
      <c r="Q344" t="b">
        <v>0</v>
      </c>
      <c r="R344" t="b">
        <v>0</v>
      </c>
      <c r="S344" t="s">
        <v>33</v>
      </c>
      <c r="T344" t="str">
        <f>_xlfn.TEXTBEFORE(Table2[[#This Row],[category &amp; sub-category]],"/")</f>
        <v>theater</v>
      </c>
      <c r="U344" t="str">
        <f>_xlfn.TEXTAFTER(Table2[[#This Row],[category &amp; sub-category]],"/")</f>
        <v>plays</v>
      </c>
    </row>
    <row r="345" spans="1:21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5">
        <f>100*Table2[[#This Row],[pledged]]/Table2[[#This Row],[goal]]</f>
        <v>53.922222222222224</v>
      </c>
      <c r="G345" t="s">
        <v>14</v>
      </c>
      <c r="H345">
        <v>147</v>
      </c>
      <c r="I345" s="4">
        <f>IF(Table2[[#This Row],[pledged]]&gt;0,Table2[[#This Row],[pledged]]/Table2[[#This Row],[backers_count]],0)</f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8">
        <f t="shared" si="10"/>
        <v>41597.25</v>
      </c>
      <c r="O345" s="8">
        <f t="shared" si="11"/>
        <v>41650.25</v>
      </c>
      <c r="P345" s="5">
        <f>_xlfn.DAYS(Table2[[#This Row],[Date Ended Conversion]],Table2[[#This Row],[Date Created Conversion]])+1</f>
        <v>54</v>
      </c>
      <c r="Q345" t="b">
        <v>0</v>
      </c>
      <c r="R345" t="b">
        <v>0</v>
      </c>
      <c r="S345" t="s">
        <v>33</v>
      </c>
      <c r="T345" t="str">
        <f>_xlfn.TEXTBEFORE(Table2[[#This Row],[category &amp; sub-category]],"/")</f>
        <v>theater</v>
      </c>
      <c r="U345" t="str">
        <f>_xlfn.TEXTAFTER(Table2[[#This Row],[category &amp; sub-category]],"/")</f>
        <v>plays</v>
      </c>
    </row>
    <row r="346" spans="1:21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5">
        <f>100*Table2[[#This Row],[pledged]]/Table2[[#This Row],[goal]]</f>
        <v>41.983299595141702</v>
      </c>
      <c r="G346" t="s">
        <v>14</v>
      </c>
      <c r="H346">
        <v>830</v>
      </c>
      <c r="I346" s="4">
        <f>IF(Table2[[#This Row],[pledged]]&gt;0,Table2[[#This Row],[pledged]]/Table2[[#This Row],[backers_count]],0)</f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8">
        <f t="shared" si="10"/>
        <v>43122.25</v>
      </c>
      <c r="O346" s="8">
        <f t="shared" si="11"/>
        <v>43162.25</v>
      </c>
      <c r="P346" s="5">
        <f>_xlfn.DAYS(Table2[[#This Row],[Date Ended Conversion]],Table2[[#This Row],[Date Created Conversion]])+1</f>
        <v>41</v>
      </c>
      <c r="Q346" t="b">
        <v>0</v>
      </c>
      <c r="R346" t="b">
        <v>0</v>
      </c>
      <c r="S346" t="s">
        <v>89</v>
      </c>
      <c r="T346" t="str">
        <f>_xlfn.TEXTBEFORE(Table2[[#This Row],[category &amp; sub-category]],"/")</f>
        <v>games</v>
      </c>
      <c r="U346" t="str">
        <f>_xlfn.TEXTAFTER(Table2[[#This Row],[category &amp; sub-category]],"/")</f>
        <v>video games</v>
      </c>
    </row>
    <row r="347" spans="1:21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5">
        <f>100*Table2[[#This Row],[pledged]]/Table2[[#This Row],[goal]]</f>
        <v>14.694796954314722</v>
      </c>
      <c r="G347" t="s">
        <v>14</v>
      </c>
      <c r="H347">
        <v>331</v>
      </c>
      <c r="I347" s="4">
        <f>IF(Table2[[#This Row],[pledged]]&gt;0,Table2[[#This Row],[pledged]]/Table2[[#This Row],[backers_count]],0)</f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8">
        <f t="shared" si="10"/>
        <v>42194.208333333328</v>
      </c>
      <c r="O347" s="8">
        <f t="shared" si="11"/>
        <v>42195.208333333328</v>
      </c>
      <c r="P347" s="5">
        <f>_xlfn.DAYS(Table2[[#This Row],[Date Ended Conversion]],Table2[[#This Row],[Date Created Conversion]])+1</f>
        <v>2</v>
      </c>
      <c r="Q347" t="b">
        <v>0</v>
      </c>
      <c r="R347" t="b">
        <v>0</v>
      </c>
      <c r="S347" t="s">
        <v>53</v>
      </c>
      <c r="T347" t="str">
        <f>_xlfn.TEXTBEFORE(Table2[[#This Row],[category &amp; sub-category]],"/")</f>
        <v>film &amp; video</v>
      </c>
      <c r="U347" t="str">
        <f>_xlfn.TEXTAFTER(Table2[[#This Row],[category &amp; sub-category]],"/")</f>
        <v>drama</v>
      </c>
    </row>
    <row r="348" spans="1:21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5">
        <f>100*Table2[[#This Row],[pledged]]/Table2[[#This Row],[goal]]</f>
        <v>34.475000000000001</v>
      </c>
      <c r="G348" t="s">
        <v>14</v>
      </c>
      <c r="H348">
        <v>25</v>
      </c>
      <c r="I348" s="4">
        <f>IF(Table2[[#This Row],[pledged]]&gt;0,Table2[[#This Row],[pledged]]/Table2[[#This Row],[backers_count]],0)</f>
        <v>110.32</v>
      </c>
      <c r="J348" t="s">
        <v>21</v>
      </c>
      <c r="K348" t="s">
        <v>22</v>
      </c>
      <c r="L348">
        <v>1503550800</v>
      </c>
      <c r="M348">
        <v>1508302800</v>
      </c>
      <c r="N348" s="8">
        <f t="shared" si="10"/>
        <v>42971.208333333328</v>
      </c>
      <c r="O348" s="8">
        <f t="shared" si="11"/>
        <v>43026.208333333328</v>
      </c>
      <c r="P348" s="5">
        <f>_xlfn.DAYS(Table2[[#This Row],[Date Ended Conversion]],Table2[[#This Row],[Date Created Conversion]])+1</f>
        <v>56</v>
      </c>
      <c r="Q348" t="b">
        <v>0</v>
      </c>
      <c r="R348" t="b">
        <v>1</v>
      </c>
      <c r="S348" t="s">
        <v>60</v>
      </c>
      <c r="T348" t="str">
        <f>_xlfn.TEXTBEFORE(Table2[[#This Row],[category &amp; sub-category]],"/")</f>
        <v>music</v>
      </c>
      <c r="U348" t="str">
        <f>_xlfn.TEXTAFTER(Table2[[#This Row],[category &amp; sub-category]],"/")</f>
        <v>indie rock</v>
      </c>
    </row>
    <row r="349" spans="1:21" ht="17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5">
        <f>100*Table2[[#This Row],[pledged]]/Table2[[#This Row],[goal]]</f>
        <v>1400.7777777777778</v>
      </c>
      <c r="G349" t="s">
        <v>20</v>
      </c>
      <c r="H349">
        <v>191</v>
      </c>
      <c r="I349" s="4">
        <f>IF(Table2[[#This Row],[pledged]]&gt;0,Table2[[#This Row],[pledged]]/Table2[[#This Row],[backers_count]],0)</f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8">
        <f t="shared" si="10"/>
        <v>42046.25</v>
      </c>
      <c r="O349" s="8">
        <f t="shared" si="11"/>
        <v>42070.25</v>
      </c>
      <c r="P349" s="5">
        <f>_xlfn.DAYS(Table2[[#This Row],[Date Ended Conversion]],Table2[[#This Row],[Date Created Conversion]])+1</f>
        <v>25</v>
      </c>
      <c r="Q349" t="b">
        <v>0</v>
      </c>
      <c r="R349" t="b">
        <v>0</v>
      </c>
      <c r="S349" t="s">
        <v>28</v>
      </c>
      <c r="T349" t="str">
        <f>_xlfn.TEXTBEFORE(Table2[[#This Row],[category &amp; sub-category]],"/")</f>
        <v>technology</v>
      </c>
      <c r="U349" t="str">
        <f>_xlfn.TEXTAFTER(Table2[[#This Row],[category &amp; sub-category]],"/")</f>
        <v>web</v>
      </c>
    </row>
    <row r="350" spans="1:21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5">
        <f>100*Table2[[#This Row],[pledged]]/Table2[[#This Row],[goal]]</f>
        <v>71.770351758793964</v>
      </c>
      <c r="G350" t="s">
        <v>14</v>
      </c>
      <c r="H350">
        <v>3483</v>
      </c>
      <c r="I350" s="4">
        <f>IF(Table2[[#This Row],[pledged]]&gt;0,Table2[[#This Row],[pledged]]/Table2[[#This Row],[backers_count]],0)</f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8">
        <f t="shared" si="10"/>
        <v>42782.25</v>
      </c>
      <c r="O350" s="8">
        <f t="shared" si="11"/>
        <v>42795.25</v>
      </c>
      <c r="P350" s="5">
        <f>_xlfn.DAYS(Table2[[#This Row],[Date Ended Conversion]],Table2[[#This Row],[Date Created Conversion]])+1</f>
        <v>14</v>
      </c>
      <c r="Q350" t="b">
        <v>0</v>
      </c>
      <c r="R350" t="b">
        <v>0</v>
      </c>
      <c r="S350" t="s">
        <v>17</v>
      </c>
      <c r="T350" t="str">
        <f>_xlfn.TEXTBEFORE(Table2[[#This Row],[category &amp; sub-category]],"/")</f>
        <v>food</v>
      </c>
      <c r="U350" t="str">
        <f>_xlfn.TEXTAFTER(Table2[[#This Row],[category &amp; sub-category]],"/")</f>
        <v>food trucks</v>
      </c>
    </row>
    <row r="351" spans="1:21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5">
        <f>100*Table2[[#This Row],[pledged]]/Table2[[#This Row],[goal]]</f>
        <v>53.07411504424779</v>
      </c>
      <c r="G351" t="s">
        <v>14</v>
      </c>
      <c r="H351">
        <v>923</v>
      </c>
      <c r="I351" s="4">
        <f>IF(Table2[[#This Row],[pledged]]&gt;0,Table2[[#This Row],[pledged]]/Table2[[#This Row],[backers_count]],0)</f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8">
        <f t="shared" si="10"/>
        <v>42930.208333333328</v>
      </c>
      <c r="O351" s="8">
        <f t="shared" si="11"/>
        <v>42960.208333333328</v>
      </c>
      <c r="P351" s="5">
        <f>_xlfn.DAYS(Table2[[#This Row],[Date Ended Conversion]],Table2[[#This Row],[Date Created Conversion]])+1</f>
        <v>31</v>
      </c>
      <c r="Q351" t="b">
        <v>0</v>
      </c>
      <c r="R351" t="b">
        <v>0</v>
      </c>
      <c r="S351" t="s">
        <v>33</v>
      </c>
      <c r="T351" t="str">
        <f>_xlfn.TEXTBEFORE(Table2[[#This Row],[category &amp; sub-category]],"/")</f>
        <v>theater</v>
      </c>
      <c r="U351" t="str">
        <f>_xlfn.TEXTAFTER(Table2[[#This Row],[category &amp; sub-category]],"/")</f>
        <v>plays</v>
      </c>
    </row>
    <row r="352" spans="1:21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5">
        <f>100*Table2[[#This Row],[pledged]]/Table2[[#This Row],[goal]]</f>
        <v>5</v>
      </c>
      <c r="G352" t="s">
        <v>14</v>
      </c>
      <c r="H352">
        <v>1</v>
      </c>
      <c r="I352" s="4">
        <f>IF(Table2[[#This Row],[pledged]]&gt;0,Table2[[#This Row],[pledged]]/Table2[[#This Row],[backers_count]],0)</f>
        <v>5</v>
      </c>
      <c r="J352" t="s">
        <v>21</v>
      </c>
      <c r="K352" t="s">
        <v>22</v>
      </c>
      <c r="L352">
        <v>1432098000</v>
      </c>
      <c r="M352">
        <v>1433653200</v>
      </c>
      <c r="N352" s="8">
        <f t="shared" si="10"/>
        <v>42144.208333333328</v>
      </c>
      <c r="O352" s="8">
        <f t="shared" si="11"/>
        <v>42162.208333333328</v>
      </c>
      <c r="P352" s="5">
        <f>_xlfn.DAYS(Table2[[#This Row],[Date Ended Conversion]],Table2[[#This Row],[Date Created Conversion]])+1</f>
        <v>19</v>
      </c>
      <c r="Q352" t="b">
        <v>0</v>
      </c>
      <c r="R352" t="b">
        <v>1</v>
      </c>
      <c r="S352" t="s">
        <v>159</v>
      </c>
      <c r="T352" t="str">
        <f>_xlfn.TEXTBEFORE(Table2[[#This Row],[category &amp; sub-category]],"/")</f>
        <v>music</v>
      </c>
      <c r="U352" t="str">
        <f>_xlfn.TEXTAFTER(Table2[[#This Row],[category &amp; sub-category]],"/")</f>
        <v>jazz</v>
      </c>
    </row>
    <row r="353" spans="1:21" ht="17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5">
        <f>100*Table2[[#This Row],[pledged]]/Table2[[#This Row],[goal]]</f>
        <v>127.70715249662618</v>
      </c>
      <c r="G353" t="s">
        <v>20</v>
      </c>
      <c r="H353">
        <v>2013</v>
      </c>
      <c r="I353" s="4">
        <f>IF(Table2[[#This Row],[pledged]]&gt;0,Table2[[#This Row],[pledged]]/Table2[[#This Row],[backers_count]],0)</f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8">
        <f t="shared" si="10"/>
        <v>42240.208333333328</v>
      </c>
      <c r="O353" s="8">
        <f t="shared" si="11"/>
        <v>42254.208333333328</v>
      </c>
      <c r="P353" s="5">
        <f>_xlfn.DAYS(Table2[[#This Row],[Date Ended Conversion]],Table2[[#This Row],[Date Created Conversion]])+1</f>
        <v>15</v>
      </c>
      <c r="Q353" t="b">
        <v>0</v>
      </c>
      <c r="R353" t="b">
        <v>0</v>
      </c>
      <c r="S353" t="s">
        <v>23</v>
      </c>
      <c r="T353" t="str">
        <f>_xlfn.TEXTBEFORE(Table2[[#This Row],[category &amp; sub-category]],"/")</f>
        <v>music</v>
      </c>
      <c r="U353" t="str">
        <f>_xlfn.TEXTAFTER(Table2[[#This Row],[category &amp; sub-category]],"/")</f>
        <v>rock</v>
      </c>
    </row>
    <row r="354" spans="1:21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5">
        <f>100*Table2[[#This Row],[pledged]]/Table2[[#This Row],[goal]]</f>
        <v>34.892857142857146</v>
      </c>
      <c r="G354" t="s">
        <v>14</v>
      </c>
      <c r="H354">
        <v>33</v>
      </c>
      <c r="I354" s="4">
        <f>IF(Table2[[#This Row],[pledged]]&gt;0,Table2[[#This Row],[pledged]]/Table2[[#This Row],[backers_count]],0)</f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8">
        <f t="shared" si="10"/>
        <v>42315.25</v>
      </c>
      <c r="O354" s="8">
        <f t="shared" si="11"/>
        <v>42323.25</v>
      </c>
      <c r="P354" s="5">
        <f>_xlfn.DAYS(Table2[[#This Row],[Date Ended Conversion]],Table2[[#This Row],[Date Created Conversion]])+1</f>
        <v>9</v>
      </c>
      <c r="Q354" t="b">
        <v>0</v>
      </c>
      <c r="R354" t="b">
        <v>0</v>
      </c>
      <c r="S354" t="s">
        <v>33</v>
      </c>
      <c r="T354" t="str">
        <f>_xlfn.TEXTBEFORE(Table2[[#This Row],[category &amp; sub-category]],"/")</f>
        <v>theater</v>
      </c>
      <c r="U354" t="str">
        <f>_xlfn.TEXTAFTER(Table2[[#This Row],[category &amp; sub-category]],"/")</f>
        <v>plays</v>
      </c>
    </row>
    <row r="355" spans="1:21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5">
        <f>100*Table2[[#This Row],[pledged]]/Table2[[#This Row],[goal]]</f>
        <v>410.59821428571428</v>
      </c>
      <c r="G355" t="s">
        <v>20</v>
      </c>
      <c r="H355">
        <v>1703</v>
      </c>
      <c r="I355" s="4">
        <f>IF(Table2[[#This Row],[pledged]]&gt;0,Table2[[#This Row],[pledged]]/Table2[[#This Row],[backers_count]],0)</f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8">
        <f t="shared" si="10"/>
        <v>43651.208333333328</v>
      </c>
      <c r="O355" s="8">
        <f t="shared" si="11"/>
        <v>43652.208333333328</v>
      </c>
      <c r="P355" s="5">
        <f>_xlfn.DAYS(Table2[[#This Row],[Date Ended Conversion]],Table2[[#This Row],[Date Created Conversion]])+1</f>
        <v>2</v>
      </c>
      <c r="Q355" t="b">
        <v>0</v>
      </c>
      <c r="R355" t="b">
        <v>0</v>
      </c>
      <c r="S355" t="s">
        <v>33</v>
      </c>
      <c r="T355" t="str">
        <f>_xlfn.TEXTBEFORE(Table2[[#This Row],[category &amp; sub-category]],"/")</f>
        <v>theater</v>
      </c>
      <c r="U355" t="str">
        <f>_xlfn.TEXTAFTER(Table2[[#This Row],[category &amp; sub-category]],"/")</f>
        <v>plays</v>
      </c>
    </row>
    <row r="356" spans="1:21" ht="17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5">
        <f>100*Table2[[#This Row],[pledged]]/Table2[[#This Row],[goal]]</f>
        <v>123.73770491803279</v>
      </c>
      <c r="G356" t="s">
        <v>20</v>
      </c>
      <c r="H356">
        <v>80</v>
      </c>
      <c r="I356" s="4">
        <f>IF(Table2[[#This Row],[pledged]]&gt;0,Table2[[#This Row],[pledged]]/Table2[[#This Row],[backers_count]],0)</f>
        <v>94.35</v>
      </c>
      <c r="J356" t="s">
        <v>36</v>
      </c>
      <c r="K356" t="s">
        <v>37</v>
      </c>
      <c r="L356">
        <v>1378184400</v>
      </c>
      <c r="M356">
        <v>1378789200</v>
      </c>
      <c r="N356" s="8">
        <f t="shared" si="10"/>
        <v>41520.208333333336</v>
      </c>
      <c r="O356" s="8">
        <f t="shared" si="11"/>
        <v>41527.208333333336</v>
      </c>
      <c r="P356" s="5">
        <f>_xlfn.DAYS(Table2[[#This Row],[Date Ended Conversion]],Table2[[#This Row],[Date Created Conversion]])+1</f>
        <v>8</v>
      </c>
      <c r="Q356" t="b">
        <v>0</v>
      </c>
      <c r="R356" t="b">
        <v>0</v>
      </c>
      <c r="S356" t="s">
        <v>42</v>
      </c>
      <c r="T356" t="str">
        <f>_xlfn.TEXTBEFORE(Table2[[#This Row],[category &amp; sub-category]],"/")</f>
        <v>film &amp; video</v>
      </c>
      <c r="U356" t="str">
        <f>_xlfn.TEXTAFTER(Table2[[#This Row],[category &amp; sub-category]],"/")</f>
        <v>documentary</v>
      </c>
    </row>
    <row r="357" spans="1:21" ht="17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5">
        <f>100*Table2[[#This Row],[pledged]]/Table2[[#This Row],[goal]]</f>
        <v>58.973684210526315</v>
      </c>
      <c r="G357" t="s">
        <v>47</v>
      </c>
      <c r="H357">
        <v>86</v>
      </c>
      <c r="I357" s="4">
        <f>IF(Table2[[#This Row],[pledged]]&gt;0,Table2[[#This Row],[pledged]]/Table2[[#This Row],[backers_count]],0)</f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8">
        <f t="shared" si="10"/>
        <v>42757.25</v>
      </c>
      <c r="O357" s="8">
        <f t="shared" si="11"/>
        <v>42797.25</v>
      </c>
      <c r="P357" s="5">
        <f>_xlfn.DAYS(Table2[[#This Row],[Date Ended Conversion]],Table2[[#This Row],[Date Created Conversion]])+1</f>
        <v>41</v>
      </c>
      <c r="Q357" t="b">
        <v>0</v>
      </c>
      <c r="R357" t="b">
        <v>0</v>
      </c>
      <c r="S357" t="s">
        <v>65</v>
      </c>
      <c r="T357" t="str">
        <f>_xlfn.TEXTBEFORE(Table2[[#This Row],[category &amp; sub-category]],"/")</f>
        <v>technology</v>
      </c>
      <c r="U357" t="str">
        <f>_xlfn.TEXTAFTER(Table2[[#This Row],[category &amp; sub-category]],"/")</f>
        <v>wearables</v>
      </c>
    </row>
    <row r="358" spans="1:21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5">
        <f>100*Table2[[#This Row],[pledged]]/Table2[[#This Row],[goal]]</f>
        <v>36.892473118279568</v>
      </c>
      <c r="G358" t="s">
        <v>14</v>
      </c>
      <c r="H358">
        <v>40</v>
      </c>
      <c r="I358" s="4">
        <f>IF(Table2[[#This Row],[pledged]]&gt;0,Table2[[#This Row],[pledged]]/Table2[[#This Row],[backers_count]],0)</f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8">
        <f t="shared" si="10"/>
        <v>40922.25</v>
      </c>
      <c r="O358" s="8">
        <f t="shared" si="11"/>
        <v>40931.25</v>
      </c>
      <c r="P358" s="5">
        <f>_xlfn.DAYS(Table2[[#This Row],[Date Ended Conversion]],Table2[[#This Row],[Date Created Conversion]])+1</f>
        <v>10</v>
      </c>
      <c r="Q358" t="b">
        <v>0</v>
      </c>
      <c r="R358" t="b">
        <v>0</v>
      </c>
      <c r="S358" t="s">
        <v>33</v>
      </c>
      <c r="T358" t="str">
        <f>_xlfn.TEXTBEFORE(Table2[[#This Row],[category &amp; sub-category]],"/")</f>
        <v>theater</v>
      </c>
      <c r="U358" t="str">
        <f>_xlfn.TEXTAFTER(Table2[[#This Row],[category &amp; sub-category]],"/")</f>
        <v>plays</v>
      </c>
    </row>
    <row r="359" spans="1:21" ht="17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5">
        <f>100*Table2[[#This Row],[pledged]]/Table2[[#This Row],[goal]]</f>
        <v>184.91304347826087</v>
      </c>
      <c r="G359" t="s">
        <v>20</v>
      </c>
      <c r="H359">
        <v>41</v>
      </c>
      <c r="I359" s="4">
        <f>IF(Table2[[#This Row],[pledged]]&gt;0,Table2[[#This Row],[pledged]]/Table2[[#This Row],[backers_count]],0)</f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8">
        <f t="shared" si="10"/>
        <v>42250.208333333328</v>
      </c>
      <c r="O359" s="8">
        <f t="shared" si="11"/>
        <v>42275.208333333328</v>
      </c>
      <c r="P359" s="5">
        <f>_xlfn.DAYS(Table2[[#This Row],[Date Ended Conversion]],Table2[[#This Row],[Date Created Conversion]])+1</f>
        <v>26</v>
      </c>
      <c r="Q359" t="b">
        <v>0</v>
      </c>
      <c r="R359" t="b">
        <v>0</v>
      </c>
      <c r="S359" t="s">
        <v>89</v>
      </c>
      <c r="T359" t="str">
        <f>_xlfn.TEXTBEFORE(Table2[[#This Row],[category &amp; sub-category]],"/")</f>
        <v>games</v>
      </c>
      <c r="U359" t="str">
        <f>_xlfn.TEXTAFTER(Table2[[#This Row],[category &amp; sub-category]],"/")</f>
        <v>video games</v>
      </c>
    </row>
    <row r="360" spans="1:21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5">
        <f>100*Table2[[#This Row],[pledged]]/Table2[[#This Row],[goal]]</f>
        <v>11.814432989690722</v>
      </c>
      <c r="G360" t="s">
        <v>14</v>
      </c>
      <c r="H360">
        <v>23</v>
      </c>
      <c r="I360" s="4">
        <f>IF(Table2[[#This Row],[pledged]]&gt;0,Table2[[#This Row],[pledged]]/Table2[[#This Row],[backers_count]],0)</f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8">
        <f t="shared" si="10"/>
        <v>43322.208333333328</v>
      </c>
      <c r="O360" s="8">
        <f t="shared" si="11"/>
        <v>43325.208333333328</v>
      </c>
      <c r="P360" s="5">
        <f>_xlfn.DAYS(Table2[[#This Row],[Date Ended Conversion]],Table2[[#This Row],[Date Created Conversion]])+1</f>
        <v>4</v>
      </c>
      <c r="Q360" t="b">
        <v>1</v>
      </c>
      <c r="R360" t="b">
        <v>0</v>
      </c>
      <c r="S360" t="s">
        <v>122</v>
      </c>
      <c r="T360" t="str">
        <f>_xlfn.TEXTBEFORE(Table2[[#This Row],[category &amp; sub-category]],"/")</f>
        <v>photography</v>
      </c>
      <c r="U360" t="str">
        <f>_xlfn.TEXTAFTER(Table2[[#This Row],[category &amp; sub-category]],"/")</f>
        <v>photography books</v>
      </c>
    </row>
    <row r="361" spans="1:21" ht="17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5">
        <f>100*Table2[[#This Row],[pledged]]/Table2[[#This Row],[goal]]</f>
        <v>298.7</v>
      </c>
      <c r="G361" t="s">
        <v>20</v>
      </c>
      <c r="H361">
        <v>187</v>
      </c>
      <c r="I361" s="4">
        <f>IF(Table2[[#This Row],[pledged]]&gt;0,Table2[[#This Row],[pledged]]/Table2[[#This Row],[backers_count]],0)</f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8">
        <f t="shared" si="10"/>
        <v>40782.208333333336</v>
      </c>
      <c r="O361" s="8">
        <f t="shared" si="11"/>
        <v>40789.208333333336</v>
      </c>
      <c r="P361" s="5">
        <f>_xlfn.DAYS(Table2[[#This Row],[Date Ended Conversion]],Table2[[#This Row],[Date Created Conversion]])+1</f>
        <v>8</v>
      </c>
      <c r="Q361" t="b">
        <v>0</v>
      </c>
      <c r="R361" t="b">
        <v>0</v>
      </c>
      <c r="S361" t="s">
        <v>71</v>
      </c>
      <c r="T361" t="str">
        <f>_xlfn.TEXTBEFORE(Table2[[#This Row],[category &amp; sub-category]],"/")</f>
        <v>film &amp; video</v>
      </c>
      <c r="U361" t="str">
        <f>_xlfn.TEXTAFTER(Table2[[#This Row],[category &amp; sub-category]],"/")</f>
        <v>animation</v>
      </c>
    </row>
    <row r="362" spans="1:21" ht="17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5">
        <f>100*Table2[[#This Row],[pledged]]/Table2[[#This Row],[goal]]</f>
        <v>226.35175879396985</v>
      </c>
      <c r="G362" t="s">
        <v>20</v>
      </c>
      <c r="H362">
        <v>2875</v>
      </c>
      <c r="I362" s="4">
        <f>IF(Table2[[#This Row],[pledged]]&gt;0,Table2[[#This Row],[pledged]]/Table2[[#This Row],[backers_count]],0)</f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8">
        <f t="shared" si="10"/>
        <v>40544.25</v>
      </c>
      <c r="O362" s="8">
        <f t="shared" si="11"/>
        <v>40558.25</v>
      </c>
      <c r="P362" s="5">
        <f>_xlfn.DAYS(Table2[[#This Row],[Date Ended Conversion]],Table2[[#This Row],[Date Created Conversion]])+1</f>
        <v>15</v>
      </c>
      <c r="Q362" t="b">
        <v>0</v>
      </c>
      <c r="R362" t="b">
        <v>1</v>
      </c>
      <c r="S362" t="s">
        <v>33</v>
      </c>
      <c r="T362" t="str">
        <f>_xlfn.TEXTBEFORE(Table2[[#This Row],[category &amp; sub-category]],"/")</f>
        <v>theater</v>
      </c>
      <c r="U362" t="str">
        <f>_xlfn.TEXTAFTER(Table2[[#This Row],[category &amp; sub-category]],"/")</f>
        <v>plays</v>
      </c>
    </row>
    <row r="363" spans="1:21" ht="17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5">
        <f>100*Table2[[#This Row],[pledged]]/Table2[[#This Row],[goal]]</f>
        <v>173.56363636363636</v>
      </c>
      <c r="G363" t="s">
        <v>20</v>
      </c>
      <c r="H363">
        <v>88</v>
      </c>
      <c r="I363" s="4">
        <f>IF(Table2[[#This Row],[pledged]]&gt;0,Table2[[#This Row],[pledged]]/Table2[[#This Row],[backers_count]],0)</f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8">
        <f t="shared" si="10"/>
        <v>43015.208333333328</v>
      </c>
      <c r="O363" s="8">
        <f t="shared" si="11"/>
        <v>43039.208333333328</v>
      </c>
      <c r="P363" s="5">
        <f>_xlfn.DAYS(Table2[[#This Row],[Date Ended Conversion]],Table2[[#This Row],[Date Created Conversion]])+1</f>
        <v>25</v>
      </c>
      <c r="Q363" t="b">
        <v>0</v>
      </c>
      <c r="R363" t="b">
        <v>0</v>
      </c>
      <c r="S363" t="s">
        <v>33</v>
      </c>
      <c r="T363" t="str">
        <f>_xlfn.TEXTBEFORE(Table2[[#This Row],[category &amp; sub-category]],"/")</f>
        <v>theater</v>
      </c>
      <c r="U363" t="str">
        <f>_xlfn.TEXTAFTER(Table2[[#This Row],[category &amp; sub-category]],"/")</f>
        <v>plays</v>
      </c>
    </row>
    <row r="364" spans="1:21" ht="17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5">
        <f>100*Table2[[#This Row],[pledged]]/Table2[[#This Row],[goal]]</f>
        <v>371.75675675675677</v>
      </c>
      <c r="G364" t="s">
        <v>20</v>
      </c>
      <c r="H364">
        <v>191</v>
      </c>
      <c r="I364" s="4">
        <f>IF(Table2[[#This Row],[pledged]]&gt;0,Table2[[#This Row],[pledged]]/Table2[[#This Row],[backers_count]],0)</f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8">
        <f t="shared" si="10"/>
        <v>40570.25</v>
      </c>
      <c r="O364" s="8">
        <f t="shared" si="11"/>
        <v>40608.25</v>
      </c>
      <c r="P364" s="5">
        <f>_xlfn.DAYS(Table2[[#This Row],[Date Ended Conversion]],Table2[[#This Row],[Date Created Conversion]])+1</f>
        <v>39</v>
      </c>
      <c r="Q364" t="b">
        <v>0</v>
      </c>
      <c r="R364" t="b">
        <v>0</v>
      </c>
      <c r="S364" t="s">
        <v>23</v>
      </c>
      <c r="T364" t="str">
        <f>_xlfn.TEXTBEFORE(Table2[[#This Row],[category &amp; sub-category]],"/")</f>
        <v>music</v>
      </c>
      <c r="U364" t="str">
        <f>_xlfn.TEXTAFTER(Table2[[#This Row],[category &amp; sub-category]],"/")</f>
        <v>rock</v>
      </c>
    </row>
    <row r="365" spans="1:21" ht="17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5">
        <f>100*Table2[[#This Row],[pledged]]/Table2[[#This Row],[goal]]</f>
        <v>160.19230769230768</v>
      </c>
      <c r="G365" t="s">
        <v>20</v>
      </c>
      <c r="H365">
        <v>139</v>
      </c>
      <c r="I365" s="4">
        <f>IF(Table2[[#This Row],[pledged]]&gt;0,Table2[[#This Row],[pledged]]/Table2[[#This Row],[backers_count]],0)</f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8">
        <f t="shared" si="10"/>
        <v>40904.25</v>
      </c>
      <c r="O365" s="8">
        <f t="shared" si="11"/>
        <v>40905.25</v>
      </c>
      <c r="P365" s="5">
        <f>_xlfn.DAYS(Table2[[#This Row],[Date Ended Conversion]],Table2[[#This Row],[Date Created Conversion]])+1</f>
        <v>2</v>
      </c>
      <c r="Q365" t="b">
        <v>0</v>
      </c>
      <c r="R365" t="b">
        <v>0</v>
      </c>
      <c r="S365" t="s">
        <v>23</v>
      </c>
      <c r="T365" t="str">
        <f>_xlfn.TEXTBEFORE(Table2[[#This Row],[category &amp; sub-category]],"/")</f>
        <v>music</v>
      </c>
      <c r="U365" t="str">
        <f>_xlfn.TEXTAFTER(Table2[[#This Row],[category &amp; sub-category]],"/")</f>
        <v>rock</v>
      </c>
    </row>
    <row r="366" spans="1:21" ht="17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5">
        <f>100*Table2[[#This Row],[pledged]]/Table2[[#This Row],[goal]]</f>
        <v>1616.3333333333333</v>
      </c>
      <c r="G366" t="s">
        <v>20</v>
      </c>
      <c r="H366">
        <v>186</v>
      </c>
      <c r="I366" s="4">
        <f>IF(Table2[[#This Row],[pledged]]&gt;0,Table2[[#This Row],[pledged]]/Table2[[#This Row],[backers_count]],0)</f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8">
        <f t="shared" si="10"/>
        <v>43164.25</v>
      </c>
      <c r="O366" s="8">
        <f t="shared" si="11"/>
        <v>43194.208333333328</v>
      </c>
      <c r="P366" s="5">
        <f>_xlfn.DAYS(Table2[[#This Row],[Date Ended Conversion]],Table2[[#This Row],[Date Created Conversion]])+1</f>
        <v>31</v>
      </c>
      <c r="Q366" t="b">
        <v>0</v>
      </c>
      <c r="R366" t="b">
        <v>0</v>
      </c>
      <c r="S366" t="s">
        <v>60</v>
      </c>
      <c r="T366" t="str">
        <f>_xlfn.TEXTBEFORE(Table2[[#This Row],[category &amp; sub-category]],"/")</f>
        <v>music</v>
      </c>
      <c r="U366" t="str">
        <f>_xlfn.TEXTAFTER(Table2[[#This Row],[category &amp; sub-category]],"/")</f>
        <v>indie rock</v>
      </c>
    </row>
    <row r="367" spans="1:21" ht="17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5">
        <f>100*Table2[[#This Row],[pledged]]/Table2[[#This Row],[goal]]</f>
        <v>733.4375</v>
      </c>
      <c r="G367" t="s">
        <v>20</v>
      </c>
      <c r="H367">
        <v>112</v>
      </c>
      <c r="I367" s="4">
        <f>IF(Table2[[#This Row],[pledged]]&gt;0,Table2[[#This Row],[pledged]]/Table2[[#This Row],[backers_count]],0)</f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8">
        <f t="shared" si="10"/>
        <v>42733.25</v>
      </c>
      <c r="O367" s="8">
        <f t="shared" si="11"/>
        <v>42760.25</v>
      </c>
      <c r="P367" s="5">
        <f>_xlfn.DAYS(Table2[[#This Row],[Date Ended Conversion]],Table2[[#This Row],[Date Created Conversion]])+1</f>
        <v>28</v>
      </c>
      <c r="Q367" t="b">
        <v>0</v>
      </c>
      <c r="R367" t="b">
        <v>0</v>
      </c>
      <c r="S367" t="s">
        <v>33</v>
      </c>
      <c r="T367" t="str">
        <f>_xlfn.TEXTBEFORE(Table2[[#This Row],[category &amp; sub-category]],"/")</f>
        <v>theater</v>
      </c>
      <c r="U367" t="str">
        <f>_xlfn.TEXTAFTER(Table2[[#This Row],[category &amp; sub-category]],"/")</f>
        <v>plays</v>
      </c>
    </row>
    <row r="368" spans="1:21" ht="17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5">
        <f>100*Table2[[#This Row],[pledged]]/Table2[[#This Row],[goal]]</f>
        <v>592.11111111111109</v>
      </c>
      <c r="G368" t="s">
        <v>20</v>
      </c>
      <c r="H368">
        <v>101</v>
      </c>
      <c r="I368" s="4">
        <f>IF(Table2[[#This Row],[pledged]]&gt;0,Table2[[#This Row],[pledged]]/Table2[[#This Row],[backers_count]],0)</f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8">
        <f t="shared" si="10"/>
        <v>40546.25</v>
      </c>
      <c r="O368" s="8">
        <f t="shared" si="11"/>
        <v>40547.25</v>
      </c>
      <c r="P368" s="5">
        <f>_xlfn.DAYS(Table2[[#This Row],[Date Ended Conversion]],Table2[[#This Row],[Date Created Conversion]])+1</f>
        <v>2</v>
      </c>
      <c r="Q368" t="b">
        <v>0</v>
      </c>
      <c r="R368" t="b">
        <v>1</v>
      </c>
      <c r="S368" t="s">
        <v>33</v>
      </c>
      <c r="T368" t="str">
        <f>_xlfn.TEXTBEFORE(Table2[[#This Row],[category &amp; sub-category]],"/")</f>
        <v>theater</v>
      </c>
      <c r="U368" t="str">
        <f>_xlfn.TEXTAFTER(Table2[[#This Row],[category &amp; sub-category]],"/")</f>
        <v>plays</v>
      </c>
    </row>
    <row r="369" spans="1:21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5">
        <f>100*Table2[[#This Row],[pledged]]/Table2[[#This Row],[goal]]</f>
        <v>18.888888888888889</v>
      </c>
      <c r="G369" t="s">
        <v>14</v>
      </c>
      <c r="H369">
        <v>75</v>
      </c>
      <c r="I369" s="4">
        <f>IF(Table2[[#This Row],[pledged]]&gt;0,Table2[[#This Row],[pledged]]/Table2[[#This Row],[backers_count]],0)</f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8">
        <f t="shared" si="10"/>
        <v>41930.208333333336</v>
      </c>
      <c r="O369" s="8">
        <f t="shared" si="11"/>
        <v>41954.25</v>
      </c>
      <c r="P369" s="5">
        <f>_xlfn.DAYS(Table2[[#This Row],[Date Ended Conversion]],Table2[[#This Row],[Date Created Conversion]])+1</f>
        <v>25</v>
      </c>
      <c r="Q369" t="b">
        <v>0</v>
      </c>
      <c r="R369" t="b">
        <v>1</v>
      </c>
      <c r="S369" t="s">
        <v>33</v>
      </c>
      <c r="T369" t="str">
        <f>_xlfn.TEXTBEFORE(Table2[[#This Row],[category &amp; sub-category]],"/")</f>
        <v>theater</v>
      </c>
      <c r="U369" t="str">
        <f>_xlfn.TEXTAFTER(Table2[[#This Row],[category &amp; sub-category]],"/")</f>
        <v>plays</v>
      </c>
    </row>
    <row r="370" spans="1:21" ht="17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5">
        <f>100*Table2[[#This Row],[pledged]]/Table2[[#This Row],[goal]]</f>
        <v>276.80769230769232</v>
      </c>
      <c r="G370" t="s">
        <v>20</v>
      </c>
      <c r="H370">
        <v>206</v>
      </c>
      <c r="I370" s="4">
        <f>IF(Table2[[#This Row],[pledged]]&gt;0,Table2[[#This Row],[pledged]]/Table2[[#This Row],[backers_count]],0)</f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8">
        <f t="shared" si="10"/>
        <v>40464.208333333336</v>
      </c>
      <c r="O370" s="8">
        <f t="shared" si="11"/>
        <v>40487.208333333336</v>
      </c>
      <c r="P370" s="5">
        <f>_xlfn.DAYS(Table2[[#This Row],[Date Ended Conversion]],Table2[[#This Row],[Date Created Conversion]])+1</f>
        <v>24</v>
      </c>
      <c r="Q370" t="b">
        <v>0</v>
      </c>
      <c r="R370" t="b">
        <v>1</v>
      </c>
      <c r="S370" t="s">
        <v>42</v>
      </c>
      <c r="T370" t="str">
        <f>_xlfn.TEXTBEFORE(Table2[[#This Row],[category &amp; sub-category]],"/")</f>
        <v>film &amp; video</v>
      </c>
      <c r="U370" t="str">
        <f>_xlfn.TEXTAFTER(Table2[[#This Row],[category &amp; sub-category]],"/")</f>
        <v>documentary</v>
      </c>
    </row>
    <row r="371" spans="1:21" ht="17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5">
        <f>100*Table2[[#This Row],[pledged]]/Table2[[#This Row],[goal]]</f>
        <v>273.01851851851853</v>
      </c>
      <c r="G371" t="s">
        <v>20</v>
      </c>
      <c r="H371">
        <v>154</v>
      </c>
      <c r="I371" s="4">
        <f>IF(Table2[[#This Row],[pledged]]&gt;0,Table2[[#This Row],[pledged]]/Table2[[#This Row],[backers_count]],0)</f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8">
        <f t="shared" si="10"/>
        <v>41308.25</v>
      </c>
      <c r="O371" s="8">
        <f t="shared" si="11"/>
        <v>41347.208333333336</v>
      </c>
      <c r="P371" s="5">
        <f>_xlfn.DAYS(Table2[[#This Row],[Date Ended Conversion]],Table2[[#This Row],[Date Created Conversion]])+1</f>
        <v>40</v>
      </c>
      <c r="Q371" t="b">
        <v>0</v>
      </c>
      <c r="R371" t="b">
        <v>1</v>
      </c>
      <c r="S371" t="s">
        <v>269</v>
      </c>
      <c r="T371" t="str">
        <f>_xlfn.TEXTBEFORE(Table2[[#This Row],[category &amp; sub-category]],"/")</f>
        <v>film &amp; video</v>
      </c>
      <c r="U371" t="str">
        <f>_xlfn.TEXTAFTER(Table2[[#This Row],[category &amp; sub-category]],"/")</f>
        <v>television</v>
      </c>
    </row>
    <row r="372" spans="1:21" ht="17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5">
        <f>100*Table2[[#This Row],[pledged]]/Table2[[#This Row],[goal]]</f>
        <v>159.36331255565449</v>
      </c>
      <c r="G372" t="s">
        <v>20</v>
      </c>
      <c r="H372">
        <v>5966</v>
      </c>
      <c r="I372" s="4">
        <f>IF(Table2[[#This Row],[pledged]]&gt;0,Table2[[#This Row],[pledged]]/Table2[[#This Row],[backers_count]],0)</f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8">
        <f t="shared" si="10"/>
        <v>43570.208333333328</v>
      </c>
      <c r="O372" s="8">
        <f t="shared" si="11"/>
        <v>43576.208333333328</v>
      </c>
      <c r="P372" s="5">
        <f>_xlfn.DAYS(Table2[[#This Row],[Date Ended Conversion]],Table2[[#This Row],[Date Created Conversion]])+1</f>
        <v>7</v>
      </c>
      <c r="Q372" t="b">
        <v>0</v>
      </c>
      <c r="R372" t="b">
        <v>0</v>
      </c>
      <c r="S372" t="s">
        <v>33</v>
      </c>
      <c r="T372" t="str">
        <f>_xlfn.TEXTBEFORE(Table2[[#This Row],[category &amp; sub-category]],"/")</f>
        <v>theater</v>
      </c>
      <c r="U372" t="str">
        <f>_xlfn.TEXTAFTER(Table2[[#This Row],[category &amp; sub-category]],"/")</f>
        <v>plays</v>
      </c>
    </row>
    <row r="373" spans="1:21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5">
        <f>100*Table2[[#This Row],[pledged]]/Table2[[#This Row],[goal]]</f>
        <v>67.869978858350947</v>
      </c>
      <c r="G373" t="s">
        <v>14</v>
      </c>
      <c r="H373">
        <v>2176</v>
      </c>
      <c r="I373" s="4">
        <f>IF(Table2[[#This Row],[pledged]]&gt;0,Table2[[#This Row],[pledged]]/Table2[[#This Row],[backers_count]],0)</f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8">
        <f t="shared" si="10"/>
        <v>42043.25</v>
      </c>
      <c r="O373" s="8">
        <f t="shared" si="11"/>
        <v>42094.208333333328</v>
      </c>
      <c r="P373" s="5">
        <f>_xlfn.DAYS(Table2[[#This Row],[Date Ended Conversion]],Table2[[#This Row],[Date Created Conversion]])+1</f>
        <v>52</v>
      </c>
      <c r="Q373" t="b">
        <v>0</v>
      </c>
      <c r="R373" t="b">
        <v>0</v>
      </c>
      <c r="S373" t="s">
        <v>33</v>
      </c>
      <c r="T373" t="str">
        <f>_xlfn.TEXTBEFORE(Table2[[#This Row],[category &amp; sub-category]],"/")</f>
        <v>theater</v>
      </c>
      <c r="U373" t="str">
        <f>_xlfn.TEXTAFTER(Table2[[#This Row],[category &amp; sub-category]],"/")</f>
        <v>plays</v>
      </c>
    </row>
    <row r="374" spans="1:21" ht="34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5">
        <f>100*Table2[[#This Row],[pledged]]/Table2[[#This Row],[goal]]</f>
        <v>1591.5555555555557</v>
      </c>
      <c r="G374" t="s">
        <v>20</v>
      </c>
      <c r="H374">
        <v>169</v>
      </c>
      <c r="I374" s="4">
        <f>IF(Table2[[#This Row],[pledged]]&gt;0,Table2[[#This Row],[pledged]]/Table2[[#This Row],[backers_count]],0)</f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8">
        <f t="shared" si="10"/>
        <v>42012.25</v>
      </c>
      <c r="O374" s="8">
        <f t="shared" si="11"/>
        <v>42032.25</v>
      </c>
      <c r="P374" s="5">
        <f>_xlfn.DAYS(Table2[[#This Row],[Date Ended Conversion]],Table2[[#This Row],[Date Created Conversion]])+1</f>
        <v>21</v>
      </c>
      <c r="Q374" t="b">
        <v>0</v>
      </c>
      <c r="R374" t="b">
        <v>1</v>
      </c>
      <c r="S374" t="s">
        <v>42</v>
      </c>
      <c r="T374" t="str">
        <f>_xlfn.TEXTBEFORE(Table2[[#This Row],[category &amp; sub-category]],"/")</f>
        <v>film &amp; video</v>
      </c>
      <c r="U374" t="str">
        <f>_xlfn.TEXTAFTER(Table2[[#This Row],[category &amp; sub-category]],"/")</f>
        <v>documentary</v>
      </c>
    </row>
    <row r="375" spans="1:21" ht="17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5">
        <f>100*Table2[[#This Row],[pledged]]/Table2[[#This Row],[goal]]</f>
        <v>730.18222222222221</v>
      </c>
      <c r="G375" t="s">
        <v>20</v>
      </c>
      <c r="H375">
        <v>2106</v>
      </c>
      <c r="I375" s="4">
        <f>IF(Table2[[#This Row],[pledged]]&gt;0,Table2[[#This Row],[pledged]]/Table2[[#This Row],[backers_count]],0)</f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8">
        <f t="shared" si="10"/>
        <v>42964.208333333328</v>
      </c>
      <c r="O375" s="8">
        <f t="shared" si="11"/>
        <v>42972.208333333328</v>
      </c>
      <c r="P375" s="5">
        <f>_xlfn.DAYS(Table2[[#This Row],[Date Ended Conversion]],Table2[[#This Row],[Date Created Conversion]])+1</f>
        <v>9</v>
      </c>
      <c r="Q375" t="b">
        <v>0</v>
      </c>
      <c r="R375" t="b">
        <v>0</v>
      </c>
      <c r="S375" t="s">
        <v>33</v>
      </c>
      <c r="T375" t="str">
        <f>_xlfn.TEXTBEFORE(Table2[[#This Row],[category &amp; sub-category]],"/")</f>
        <v>theater</v>
      </c>
      <c r="U375" t="str">
        <f>_xlfn.TEXTAFTER(Table2[[#This Row],[category &amp; sub-category]],"/")</f>
        <v>plays</v>
      </c>
    </row>
    <row r="376" spans="1:21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5">
        <f>100*Table2[[#This Row],[pledged]]/Table2[[#This Row],[goal]]</f>
        <v>13.185782556750299</v>
      </c>
      <c r="G376" t="s">
        <v>14</v>
      </c>
      <c r="H376">
        <v>441</v>
      </c>
      <c r="I376" s="4">
        <f>IF(Table2[[#This Row],[pledged]]&gt;0,Table2[[#This Row],[pledged]]/Table2[[#This Row],[backers_count]],0)</f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8">
        <f t="shared" si="10"/>
        <v>43476.25</v>
      </c>
      <c r="O376" s="8">
        <f t="shared" si="11"/>
        <v>43481.25</v>
      </c>
      <c r="P376" s="5">
        <f>_xlfn.DAYS(Table2[[#This Row],[Date Ended Conversion]],Table2[[#This Row],[Date Created Conversion]])+1</f>
        <v>6</v>
      </c>
      <c r="Q376" t="b">
        <v>0</v>
      </c>
      <c r="R376" t="b">
        <v>1</v>
      </c>
      <c r="S376" t="s">
        <v>42</v>
      </c>
      <c r="T376" t="str">
        <f>_xlfn.TEXTBEFORE(Table2[[#This Row],[category &amp; sub-category]],"/")</f>
        <v>film &amp; video</v>
      </c>
      <c r="U376" t="str">
        <f>_xlfn.TEXTAFTER(Table2[[#This Row],[category &amp; sub-category]],"/")</f>
        <v>documentary</v>
      </c>
    </row>
    <row r="377" spans="1:21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5">
        <f>100*Table2[[#This Row],[pledged]]/Table2[[#This Row],[goal]]</f>
        <v>54.777777777777779</v>
      </c>
      <c r="G377" t="s">
        <v>14</v>
      </c>
      <c r="H377">
        <v>25</v>
      </c>
      <c r="I377" s="4">
        <f>IF(Table2[[#This Row],[pledged]]&gt;0,Table2[[#This Row],[pledged]]/Table2[[#This Row],[backers_count]],0)</f>
        <v>59.16</v>
      </c>
      <c r="J377" t="s">
        <v>21</v>
      </c>
      <c r="K377" t="s">
        <v>22</v>
      </c>
      <c r="L377">
        <v>1444971600</v>
      </c>
      <c r="M377">
        <v>1449900000</v>
      </c>
      <c r="N377" s="8">
        <f t="shared" si="10"/>
        <v>42293.208333333328</v>
      </c>
      <c r="O377" s="8">
        <f t="shared" si="11"/>
        <v>42350.25</v>
      </c>
      <c r="P377" s="5">
        <f>_xlfn.DAYS(Table2[[#This Row],[Date Ended Conversion]],Table2[[#This Row],[Date Created Conversion]])+1</f>
        <v>58</v>
      </c>
      <c r="Q377" t="b">
        <v>0</v>
      </c>
      <c r="R377" t="b">
        <v>0</v>
      </c>
      <c r="S377" t="s">
        <v>60</v>
      </c>
      <c r="T377" t="str">
        <f>_xlfn.TEXTBEFORE(Table2[[#This Row],[category &amp; sub-category]],"/")</f>
        <v>music</v>
      </c>
      <c r="U377" t="str">
        <f>_xlfn.TEXTAFTER(Table2[[#This Row],[category &amp; sub-category]],"/")</f>
        <v>indie rock</v>
      </c>
    </row>
    <row r="378" spans="1:21" ht="17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5">
        <f>100*Table2[[#This Row],[pledged]]/Table2[[#This Row],[goal]]</f>
        <v>361.02941176470586</v>
      </c>
      <c r="G378" t="s">
        <v>20</v>
      </c>
      <c r="H378">
        <v>131</v>
      </c>
      <c r="I378" s="4">
        <f>IF(Table2[[#This Row],[pledged]]&gt;0,Table2[[#This Row],[pledged]]/Table2[[#This Row],[backers_count]],0)</f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8">
        <f t="shared" si="10"/>
        <v>41826.208333333336</v>
      </c>
      <c r="O378" s="8">
        <f t="shared" si="11"/>
        <v>41832.208333333336</v>
      </c>
      <c r="P378" s="5">
        <f>_xlfn.DAYS(Table2[[#This Row],[Date Ended Conversion]],Table2[[#This Row],[Date Created Conversion]])+1</f>
        <v>7</v>
      </c>
      <c r="Q378" t="b">
        <v>0</v>
      </c>
      <c r="R378" t="b">
        <v>0</v>
      </c>
      <c r="S378" t="s">
        <v>23</v>
      </c>
      <c r="T378" t="str">
        <f>_xlfn.TEXTBEFORE(Table2[[#This Row],[category &amp; sub-category]],"/")</f>
        <v>music</v>
      </c>
      <c r="U378" t="str">
        <f>_xlfn.TEXTAFTER(Table2[[#This Row],[category &amp; sub-category]],"/")</f>
        <v>rock</v>
      </c>
    </row>
    <row r="379" spans="1:21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5">
        <f>100*Table2[[#This Row],[pledged]]/Table2[[#This Row],[goal]]</f>
        <v>10.257545271629779</v>
      </c>
      <c r="G379" t="s">
        <v>14</v>
      </c>
      <c r="H379">
        <v>127</v>
      </c>
      <c r="I379" s="4">
        <f>IF(Table2[[#This Row],[pledged]]&gt;0,Table2[[#This Row],[pledged]]/Table2[[#This Row],[backers_count]],0)</f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8">
        <f t="shared" si="10"/>
        <v>43760.208333333328</v>
      </c>
      <c r="O379" s="8">
        <f t="shared" si="11"/>
        <v>43774.25</v>
      </c>
      <c r="P379" s="5">
        <f>_xlfn.DAYS(Table2[[#This Row],[Date Ended Conversion]],Table2[[#This Row],[Date Created Conversion]])+1</f>
        <v>15</v>
      </c>
      <c r="Q379" t="b">
        <v>0</v>
      </c>
      <c r="R379" t="b">
        <v>0</v>
      </c>
      <c r="S379" t="s">
        <v>33</v>
      </c>
      <c r="T379" t="str">
        <f>_xlfn.TEXTBEFORE(Table2[[#This Row],[category &amp; sub-category]],"/")</f>
        <v>theater</v>
      </c>
      <c r="U379" t="str">
        <f>_xlfn.TEXTAFTER(Table2[[#This Row],[category &amp; sub-category]],"/")</f>
        <v>plays</v>
      </c>
    </row>
    <row r="380" spans="1:21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5">
        <f>100*Table2[[#This Row],[pledged]]/Table2[[#This Row],[goal]]</f>
        <v>13.962962962962964</v>
      </c>
      <c r="G380" t="s">
        <v>14</v>
      </c>
      <c r="H380">
        <v>355</v>
      </c>
      <c r="I380" s="4">
        <f>IF(Table2[[#This Row],[pledged]]&gt;0,Table2[[#This Row],[pledged]]/Table2[[#This Row],[backers_count]],0)</f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8">
        <f t="shared" si="10"/>
        <v>43241.208333333328</v>
      </c>
      <c r="O380" s="8">
        <f t="shared" si="11"/>
        <v>43279.208333333328</v>
      </c>
      <c r="P380" s="5">
        <f>_xlfn.DAYS(Table2[[#This Row],[Date Ended Conversion]],Table2[[#This Row],[Date Created Conversion]])+1</f>
        <v>39</v>
      </c>
      <c r="Q380" t="b">
        <v>0</v>
      </c>
      <c r="R380" t="b">
        <v>0</v>
      </c>
      <c r="S380" t="s">
        <v>42</v>
      </c>
      <c r="T380" t="str">
        <f>_xlfn.TEXTBEFORE(Table2[[#This Row],[category &amp; sub-category]],"/")</f>
        <v>film &amp; video</v>
      </c>
      <c r="U380" t="str">
        <f>_xlfn.TEXTAFTER(Table2[[#This Row],[category &amp; sub-category]],"/")</f>
        <v>documentary</v>
      </c>
    </row>
    <row r="381" spans="1:21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5">
        <f>100*Table2[[#This Row],[pledged]]/Table2[[#This Row],[goal]]</f>
        <v>40.444444444444443</v>
      </c>
      <c r="G381" t="s">
        <v>14</v>
      </c>
      <c r="H381">
        <v>44</v>
      </c>
      <c r="I381" s="4">
        <f>IF(Table2[[#This Row],[pledged]]&gt;0,Table2[[#This Row],[pledged]]/Table2[[#This Row],[backers_count]],0)</f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8">
        <f t="shared" si="10"/>
        <v>40843.208333333336</v>
      </c>
      <c r="O381" s="8">
        <f t="shared" si="11"/>
        <v>40857.25</v>
      </c>
      <c r="P381" s="5">
        <f>_xlfn.DAYS(Table2[[#This Row],[Date Ended Conversion]],Table2[[#This Row],[Date Created Conversion]])+1</f>
        <v>15</v>
      </c>
      <c r="Q381" t="b">
        <v>0</v>
      </c>
      <c r="R381" t="b">
        <v>0</v>
      </c>
      <c r="S381" t="s">
        <v>33</v>
      </c>
      <c r="T381" t="str">
        <f>_xlfn.TEXTBEFORE(Table2[[#This Row],[category &amp; sub-category]],"/")</f>
        <v>theater</v>
      </c>
      <c r="U381" t="str">
        <f>_xlfn.TEXTAFTER(Table2[[#This Row],[category &amp; sub-category]],"/")</f>
        <v>plays</v>
      </c>
    </row>
    <row r="382" spans="1:21" ht="34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5">
        <f>100*Table2[[#This Row],[pledged]]/Table2[[#This Row],[goal]]</f>
        <v>160.32</v>
      </c>
      <c r="G382" t="s">
        <v>20</v>
      </c>
      <c r="H382">
        <v>84</v>
      </c>
      <c r="I382" s="4">
        <f>IF(Table2[[#This Row],[pledged]]&gt;0,Table2[[#This Row],[pledged]]/Table2[[#This Row],[backers_count]],0)</f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8">
        <f t="shared" si="10"/>
        <v>41448.208333333336</v>
      </c>
      <c r="O382" s="8">
        <f t="shared" si="11"/>
        <v>41453.208333333336</v>
      </c>
      <c r="P382" s="5">
        <f>_xlfn.DAYS(Table2[[#This Row],[Date Ended Conversion]],Table2[[#This Row],[Date Created Conversion]])+1</f>
        <v>6</v>
      </c>
      <c r="Q382" t="b">
        <v>0</v>
      </c>
      <c r="R382" t="b">
        <v>0</v>
      </c>
      <c r="S382" t="s">
        <v>33</v>
      </c>
      <c r="T382" t="str">
        <f>_xlfn.TEXTBEFORE(Table2[[#This Row],[category &amp; sub-category]],"/")</f>
        <v>theater</v>
      </c>
      <c r="U382" t="str">
        <f>_xlfn.TEXTAFTER(Table2[[#This Row],[category &amp; sub-category]],"/")</f>
        <v>plays</v>
      </c>
    </row>
    <row r="383" spans="1:21" ht="17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5">
        <f>100*Table2[[#This Row],[pledged]]/Table2[[#This Row],[goal]]</f>
        <v>183.9433962264151</v>
      </c>
      <c r="G383" t="s">
        <v>20</v>
      </c>
      <c r="H383">
        <v>155</v>
      </c>
      <c r="I383" s="4">
        <f>IF(Table2[[#This Row],[pledged]]&gt;0,Table2[[#This Row],[pledged]]/Table2[[#This Row],[backers_count]],0)</f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8">
        <f t="shared" si="10"/>
        <v>42163.208333333328</v>
      </c>
      <c r="O383" s="8">
        <f t="shared" si="11"/>
        <v>42209.208333333328</v>
      </c>
      <c r="P383" s="5">
        <f>_xlfn.DAYS(Table2[[#This Row],[Date Ended Conversion]],Table2[[#This Row],[Date Created Conversion]])+1</f>
        <v>47</v>
      </c>
      <c r="Q383" t="b">
        <v>0</v>
      </c>
      <c r="R383" t="b">
        <v>0</v>
      </c>
      <c r="S383" t="s">
        <v>33</v>
      </c>
      <c r="T383" t="str">
        <f>_xlfn.TEXTBEFORE(Table2[[#This Row],[category &amp; sub-category]],"/")</f>
        <v>theater</v>
      </c>
      <c r="U383" t="str">
        <f>_xlfn.TEXTAFTER(Table2[[#This Row],[category &amp; sub-category]],"/")</f>
        <v>plays</v>
      </c>
    </row>
    <row r="384" spans="1:21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5">
        <f>100*Table2[[#This Row],[pledged]]/Table2[[#This Row],[goal]]</f>
        <v>63.769230769230766</v>
      </c>
      <c r="G384" t="s">
        <v>14</v>
      </c>
      <c r="H384">
        <v>67</v>
      </c>
      <c r="I384" s="4">
        <f>IF(Table2[[#This Row],[pledged]]&gt;0,Table2[[#This Row],[pledged]]/Table2[[#This Row],[backers_count]],0)</f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8">
        <f t="shared" si="10"/>
        <v>43024.208333333328</v>
      </c>
      <c r="O384" s="8">
        <f t="shared" si="11"/>
        <v>43043.208333333328</v>
      </c>
      <c r="P384" s="5">
        <f>_xlfn.DAYS(Table2[[#This Row],[Date Ended Conversion]],Table2[[#This Row],[Date Created Conversion]])+1</f>
        <v>20</v>
      </c>
      <c r="Q384" t="b">
        <v>0</v>
      </c>
      <c r="R384" t="b">
        <v>0</v>
      </c>
      <c r="S384" t="s">
        <v>122</v>
      </c>
      <c r="T384" t="str">
        <f>_xlfn.TEXTBEFORE(Table2[[#This Row],[category &amp; sub-category]],"/")</f>
        <v>photography</v>
      </c>
      <c r="U384" t="str">
        <f>_xlfn.TEXTAFTER(Table2[[#This Row],[category &amp; sub-category]],"/")</f>
        <v>photography books</v>
      </c>
    </row>
    <row r="385" spans="1:21" ht="17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5">
        <f>100*Table2[[#This Row],[pledged]]/Table2[[#This Row],[goal]]</f>
        <v>225.38095238095238</v>
      </c>
      <c r="G385" t="s">
        <v>20</v>
      </c>
      <c r="H385">
        <v>189</v>
      </c>
      <c r="I385" s="4">
        <f>IF(Table2[[#This Row],[pledged]]&gt;0,Table2[[#This Row],[pledged]]/Table2[[#This Row],[backers_count]],0)</f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8">
        <f t="shared" si="10"/>
        <v>43509.25</v>
      </c>
      <c r="O385" s="8">
        <f t="shared" si="11"/>
        <v>43515.25</v>
      </c>
      <c r="P385" s="5">
        <f>_xlfn.DAYS(Table2[[#This Row],[Date Ended Conversion]],Table2[[#This Row],[Date Created Conversion]])+1</f>
        <v>7</v>
      </c>
      <c r="Q385" t="b">
        <v>0</v>
      </c>
      <c r="R385" t="b">
        <v>1</v>
      </c>
      <c r="S385" t="s">
        <v>17</v>
      </c>
      <c r="T385" t="str">
        <f>_xlfn.TEXTBEFORE(Table2[[#This Row],[category &amp; sub-category]],"/")</f>
        <v>food</v>
      </c>
      <c r="U385" t="str">
        <f>_xlfn.TEXTAFTER(Table2[[#This Row],[category &amp; sub-category]],"/")</f>
        <v>food trucks</v>
      </c>
    </row>
    <row r="386" spans="1:21" ht="17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5">
        <f>100*Table2[[#This Row],[pledged]]/Table2[[#This Row],[goal]]</f>
        <v>172.00961538461539</v>
      </c>
      <c r="G386" t="s">
        <v>20</v>
      </c>
      <c r="H386">
        <v>4799</v>
      </c>
      <c r="I386" s="4">
        <f>IF(Table2[[#This Row],[pledged]]&gt;0,Table2[[#This Row],[pledged]]/Table2[[#This Row],[backers_count]],0)</f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8">
        <f t="shared" ref="N386:N449" si="12">(((L386/60)/60)/24)+DATE(1970,1,1)</f>
        <v>42776.25</v>
      </c>
      <c r="O386" s="8">
        <f t="shared" ref="O386:O449" si="13">(((M386/60)/60)/24)+DATE(1970,1,1)</f>
        <v>42803.25</v>
      </c>
      <c r="P386" s="5">
        <f>_xlfn.DAYS(Table2[[#This Row],[Date Ended Conversion]],Table2[[#This Row],[Date Created Conversion]])+1</f>
        <v>28</v>
      </c>
      <c r="Q386" t="b">
        <v>1</v>
      </c>
      <c r="R386" t="b">
        <v>1</v>
      </c>
      <c r="S386" t="s">
        <v>42</v>
      </c>
      <c r="T386" t="str">
        <f>_xlfn.TEXTBEFORE(Table2[[#This Row],[category &amp; sub-category]],"/")</f>
        <v>film &amp; video</v>
      </c>
      <c r="U386" t="str">
        <f>_xlfn.TEXTAFTER(Table2[[#This Row],[category &amp; sub-category]],"/")</f>
        <v>documentary</v>
      </c>
    </row>
    <row r="387" spans="1:21" ht="34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5">
        <f>100*Table2[[#This Row],[pledged]]/Table2[[#This Row],[goal]]</f>
        <v>146.16709511568124</v>
      </c>
      <c r="G387" t="s">
        <v>20</v>
      </c>
      <c r="H387">
        <v>1137</v>
      </c>
      <c r="I387" s="4">
        <f>IF(Table2[[#This Row],[pledged]]&gt;0,Table2[[#This Row],[pledged]]/Table2[[#This Row],[backers_count]],0)</f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8">
        <f t="shared" si="12"/>
        <v>43553.208333333328</v>
      </c>
      <c r="O387" s="8">
        <f t="shared" si="13"/>
        <v>43585.208333333328</v>
      </c>
      <c r="P387" s="5">
        <f>_xlfn.DAYS(Table2[[#This Row],[Date Ended Conversion]],Table2[[#This Row],[Date Created Conversion]])+1</f>
        <v>33</v>
      </c>
      <c r="Q387" t="b">
        <v>0</v>
      </c>
      <c r="R387" t="b">
        <v>0</v>
      </c>
      <c r="S387" t="s">
        <v>68</v>
      </c>
      <c r="T387" t="str">
        <f>_xlfn.TEXTBEFORE(Table2[[#This Row],[category &amp; sub-category]],"/")</f>
        <v>publishing</v>
      </c>
      <c r="U387" t="str">
        <f>_xlfn.TEXTAFTER(Table2[[#This Row],[category &amp; sub-category]],"/")</f>
        <v>nonfiction</v>
      </c>
    </row>
    <row r="388" spans="1:21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5">
        <f>100*Table2[[#This Row],[pledged]]/Table2[[#This Row],[goal]]</f>
        <v>76.42361623616236</v>
      </c>
      <c r="G388" t="s">
        <v>14</v>
      </c>
      <c r="H388">
        <v>1068</v>
      </c>
      <c r="I388" s="4">
        <f>IF(Table2[[#This Row],[pledged]]&gt;0,Table2[[#This Row],[pledged]]/Table2[[#This Row],[backers_count]],0)</f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8">
        <f t="shared" si="12"/>
        <v>40355.208333333336</v>
      </c>
      <c r="O388" s="8">
        <f t="shared" si="13"/>
        <v>40367.208333333336</v>
      </c>
      <c r="P388" s="5">
        <f>_xlfn.DAYS(Table2[[#This Row],[Date Ended Conversion]],Table2[[#This Row],[Date Created Conversion]])+1</f>
        <v>13</v>
      </c>
      <c r="Q388" t="b">
        <v>0</v>
      </c>
      <c r="R388" t="b">
        <v>0</v>
      </c>
      <c r="S388" t="s">
        <v>33</v>
      </c>
      <c r="T388" t="str">
        <f>_xlfn.TEXTBEFORE(Table2[[#This Row],[category &amp; sub-category]],"/")</f>
        <v>theater</v>
      </c>
      <c r="U388" t="str">
        <f>_xlfn.TEXTAFTER(Table2[[#This Row],[category &amp; sub-category]],"/")</f>
        <v>plays</v>
      </c>
    </row>
    <row r="389" spans="1:21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5">
        <f>100*Table2[[#This Row],[pledged]]/Table2[[#This Row],[goal]]</f>
        <v>39.261467889908253</v>
      </c>
      <c r="G389" t="s">
        <v>14</v>
      </c>
      <c r="H389">
        <v>424</v>
      </c>
      <c r="I389" s="4">
        <f>IF(Table2[[#This Row],[pledged]]&gt;0,Table2[[#This Row],[pledged]]/Table2[[#This Row],[backers_count]],0)</f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8">
        <f t="shared" si="12"/>
        <v>41072.208333333336</v>
      </c>
      <c r="O389" s="8">
        <f t="shared" si="13"/>
        <v>41077.208333333336</v>
      </c>
      <c r="P389" s="5">
        <f>_xlfn.DAYS(Table2[[#This Row],[Date Ended Conversion]],Table2[[#This Row],[Date Created Conversion]])+1</f>
        <v>6</v>
      </c>
      <c r="Q389" t="b">
        <v>0</v>
      </c>
      <c r="R389" t="b">
        <v>0</v>
      </c>
      <c r="S389" t="s">
        <v>65</v>
      </c>
      <c r="T389" t="str">
        <f>_xlfn.TEXTBEFORE(Table2[[#This Row],[category &amp; sub-category]],"/")</f>
        <v>technology</v>
      </c>
      <c r="U389" t="str">
        <f>_xlfn.TEXTAFTER(Table2[[#This Row],[category &amp; sub-category]],"/")</f>
        <v>wearables</v>
      </c>
    </row>
    <row r="390" spans="1:21" ht="17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5">
        <f>100*Table2[[#This Row],[pledged]]/Table2[[#This Row],[goal]]</f>
        <v>11.270034843205575</v>
      </c>
      <c r="G390" t="s">
        <v>74</v>
      </c>
      <c r="H390">
        <v>145</v>
      </c>
      <c r="I390" s="4">
        <f>IF(Table2[[#This Row],[pledged]]&gt;0,Table2[[#This Row],[pledged]]/Table2[[#This Row],[backers_count]],0)</f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8">
        <f t="shared" si="12"/>
        <v>40912.25</v>
      </c>
      <c r="O390" s="8">
        <f t="shared" si="13"/>
        <v>40914.25</v>
      </c>
      <c r="P390" s="5">
        <f>_xlfn.DAYS(Table2[[#This Row],[Date Ended Conversion]],Table2[[#This Row],[Date Created Conversion]])+1</f>
        <v>3</v>
      </c>
      <c r="Q390" t="b">
        <v>0</v>
      </c>
      <c r="R390" t="b">
        <v>0</v>
      </c>
      <c r="S390" t="s">
        <v>60</v>
      </c>
      <c r="T390" t="str">
        <f>_xlfn.TEXTBEFORE(Table2[[#This Row],[category &amp; sub-category]],"/")</f>
        <v>music</v>
      </c>
      <c r="U390" t="str">
        <f>_xlfn.TEXTAFTER(Table2[[#This Row],[category &amp; sub-category]],"/")</f>
        <v>indie rock</v>
      </c>
    </row>
    <row r="391" spans="1:21" ht="17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5">
        <f>100*Table2[[#This Row],[pledged]]/Table2[[#This Row],[goal]]</f>
        <v>122.11084337349398</v>
      </c>
      <c r="G391" t="s">
        <v>20</v>
      </c>
      <c r="H391">
        <v>1152</v>
      </c>
      <c r="I391" s="4">
        <f>IF(Table2[[#This Row],[pledged]]&gt;0,Table2[[#This Row],[pledged]]/Table2[[#This Row],[backers_count]],0)</f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8">
        <f t="shared" si="12"/>
        <v>40479.208333333336</v>
      </c>
      <c r="O391" s="8">
        <f t="shared" si="13"/>
        <v>40506.25</v>
      </c>
      <c r="P391" s="5">
        <f>_xlfn.DAYS(Table2[[#This Row],[Date Ended Conversion]],Table2[[#This Row],[Date Created Conversion]])+1</f>
        <v>28</v>
      </c>
      <c r="Q391" t="b">
        <v>0</v>
      </c>
      <c r="R391" t="b">
        <v>0</v>
      </c>
      <c r="S391" t="s">
        <v>33</v>
      </c>
      <c r="T391" t="str">
        <f>_xlfn.TEXTBEFORE(Table2[[#This Row],[category &amp; sub-category]],"/")</f>
        <v>theater</v>
      </c>
      <c r="U391" t="str">
        <f>_xlfn.TEXTAFTER(Table2[[#This Row],[category &amp; sub-category]],"/")</f>
        <v>plays</v>
      </c>
    </row>
    <row r="392" spans="1:21" ht="17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5">
        <f>100*Table2[[#This Row],[pledged]]/Table2[[#This Row],[goal]]</f>
        <v>186.54166666666666</v>
      </c>
      <c r="G392" t="s">
        <v>20</v>
      </c>
      <c r="H392">
        <v>50</v>
      </c>
      <c r="I392" s="4">
        <f>IF(Table2[[#This Row],[pledged]]&gt;0,Table2[[#This Row],[pledged]]/Table2[[#This Row],[backers_count]],0)</f>
        <v>89.54</v>
      </c>
      <c r="J392" t="s">
        <v>21</v>
      </c>
      <c r="K392" t="s">
        <v>22</v>
      </c>
      <c r="L392">
        <v>1379048400</v>
      </c>
      <c r="M392">
        <v>1380344400</v>
      </c>
      <c r="N392" s="8">
        <f t="shared" si="12"/>
        <v>41530.208333333336</v>
      </c>
      <c r="O392" s="8">
        <f t="shared" si="13"/>
        <v>41545.208333333336</v>
      </c>
      <c r="P392" s="5">
        <f>_xlfn.DAYS(Table2[[#This Row],[Date Ended Conversion]],Table2[[#This Row],[Date Created Conversion]])+1</f>
        <v>16</v>
      </c>
      <c r="Q392" t="b">
        <v>0</v>
      </c>
      <c r="R392" t="b">
        <v>0</v>
      </c>
      <c r="S392" t="s">
        <v>122</v>
      </c>
      <c r="T392" t="str">
        <f>_xlfn.TEXTBEFORE(Table2[[#This Row],[category &amp; sub-category]],"/")</f>
        <v>photography</v>
      </c>
      <c r="U392" t="str">
        <f>_xlfn.TEXTAFTER(Table2[[#This Row],[category &amp; sub-category]],"/")</f>
        <v>photography books</v>
      </c>
    </row>
    <row r="393" spans="1:21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5">
        <f>100*Table2[[#This Row],[pledged]]/Table2[[#This Row],[goal]]</f>
        <v>7.2731788079470201</v>
      </c>
      <c r="G393" t="s">
        <v>14</v>
      </c>
      <c r="H393">
        <v>151</v>
      </c>
      <c r="I393" s="4">
        <f>IF(Table2[[#This Row],[pledged]]&gt;0,Table2[[#This Row],[pledged]]/Table2[[#This Row],[backers_count]],0)</f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8">
        <f t="shared" si="12"/>
        <v>41653.25</v>
      </c>
      <c r="O393" s="8">
        <f t="shared" si="13"/>
        <v>41655.25</v>
      </c>
      <c r="P393" s="5">
        <f>_xlfn.DAYS(Table2[[#This Row],[Date Ended Conversion]],Table2[[#This Row],[Date Created Conversion]])+1</f>
        <v>3</v>
      </c>
      <c r="Q393" t="b">
        <v>0</v>
      </c>
      <c r="R393" t="b">
        <v>0</v>
      </c>
      <c r="S393" t="s">
        <v>68</v>
      </c>
      <c r="T393" t="str">
        <f>_xlfn.TEXTBEFORE(Table2[[#This Row],[category &amp; sub-category]],"/")</f>
        <v>publishing</v>
      </c>
      <c r="U393" t="str">
        <f>_xlfn.TEXTAFTER(Table2[[#This Row],[category &amp; sub-category]],"/")</f>
        <v>nonfiction</v>
      </c>
    </row>
    <row r="394" spans="1:21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5">
        <f>100*Table2[[#This Row],[pledged]]/Table2[[#This Row],[goal]]</f>
        <v>65.642371234207971</v>
      </c>
      <c r="G394" t="s">
        <v>14</v>
      </c>
      <c r="H394">
        <v>1608</v>
      </c>
      <c r="I394" s="4">
        <f>IF(Table2[[#This Row],[pledged]]&gt;0,Table2[[#This Row],[pledged]]/Table2[[#This Row],[backers_count]],0)</f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8">
        <f t="shared" si="12"/>
        <v>40549.25</v>
      </c>
      <c r="O394" s="8">
        <f t="shared" si="13"/>
        <v>40551.25</v>
      </c>
      <c r="P394" s="5">
        <f>_xlfn.DAYS(Table2[[#This Row],[Date Ended Conversion]],Table2[[#This Row],[Date Created Conversion]])+1</f>
        <v>3</v>
      </c>
      <c r="Q394" t="b">
        <v>0</v>
      </c>
      <c r="R394" t="b">
        <v>0</v>
      </c>
      <c r="S394" t="s">
        <v>65</v>
      </c>
      <c r="T394" t="str">
        <f>_xlfn.TEXTBEFORE(Table2[[#This Row],[category &amp; sub-category]],"/")</f>
        <v>technology</v>
      </c>
      <c r="U394" t="str">
        <f>_xlfn.TEXTAFTER(Table2[[#This Row],[category &amp; sub-category]],"/")</f>
        <v>wearables</v>
      </c>
    </row>
    <row r="395" spans="1:21" ht="17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5">
        <f>100*Table2[[#This Row],[pledged]]/Table2[[#This Row],[goal]]</f>
        <v>228.96178343949043</v>
      </c>
      <c r="G395" t="s">
        <v>20</v>
      </c>
      <c r="H395">
        <v>3059</v>
      </c>
      <c r="I395" s="4">
        <f>IF(Table2[[#This Row],[pledged]]&gt;0,Table2[[#This Row],[pledged]]/Table2[[#This Row],[backers_count]],0)</f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8">
        <f t="shared" si="12"/>
        <v>42933.208333333328</v>
      </c>
      <c r="O395" s="8">
        <f t="shared" si="13"/>
        <v>42934.208333333328</v>
      </c>
      <c r="P395" s="5">
        <f>_xlfn.DAYS(Table2[[#This Row],[Date Ended Conversion]],Table2[[#This Row],[Date Created Conversion]])+1</f>
        <v>2</v>
      </c>
      <c r="Q395" t="b">
        <v>0</v>
      </c>
      <c r="R395" t="b">
        <v>0</v>
      </c>
      <c r="S395" t="s">
        <v>159</v>
      </c>
      <c r="T395" t="str">
        <f>_xlfn.TEXTBEFORE(Table2[[#This Row],[category &amp; sub-category]],"/")</f>
        <v>music</v>
      </c>
      <c r="U395" t="str">
        <f>_xlfn.TEXTAFTER(Table2[[#This Row],[category &amp; sub-category]],"/")</f>
        <v>jazz</v>
      </c>
    </row>
    <row r="396" spans="1:21" ht="17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5">
        <f>100*Table2[[#This Row],[pledged]]/Table2[[#This Row],[goal]]</f>
        <v>469.375</v>
      </c>
      <c r="G396" t="s">
        <v>20</v>
      </c>
      <c r="H396">
        <v>34</v>
      </c>
      <c r="I396" s="4">
        <f>IF(Table2[[#This Row],[pledged]]&gt;0,Table2[[#This Row],[pledged]]/Table2[[#This Row],[backers_count]],0)</f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8">
        <f t="shared" si="12"/>
        <v>41484.208333333336</v>
      </c>
      <c r="O396" s="8">
        <f t="shared" si="13"/>
        <v>41494.208333333336</v>
      </c>
      <c r="P396" s="5">
        <f>_xlfn.DAYS(Table2[[#This Row],[Date Ended Conversion]],Table2[[#This Row],[Date Created Conversion]])+1</f>
        <v>11</v>
      </c>
      <c r="Q396" t="b">
        <v>0</v>
      </c>
      <c r="R396" t="b">
        <v>1</v>
      </c>
      <c r="S396" t="s">
        <v>42</v>
      </c>
      <c r="T396" t="str">
        <f>_xlfn.TEXTBEFORE(Table2[[#This Row],[category &amp; sub-category]],"/")</f>
        <v>film &amp; video</v>
      </c>
      <c r="U396" t="str">
        <f>_xlfn.TEXTAFTER(Table2[[#This Row],[category &amp; sub-category]],"/")</f>
        <v>documentary</v>
      </c>
    </row>
    <row r="397" spans="1:21" ht="34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5">
        <f>100*Table2[[#This Row],[pledged]]/Table2[[#This Row],[goal]]</f>
        <v>130.11267605633802</v>
      </c>
      <c r="G397" t="s">
        <v>20</v>
      </c>
      <c r="H397">
        <v>220</v>
      </c>
      <c r="I397" s="4">
        <f>IF(Table2[[#This Row],[pledged]]&gt;0,Table2[[#This Row],[pledged]]/Table2[[#This Row],[backers_count]],0)</f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8">
        <f t="shared" si="12"/>
        <v>40885.25</v>
      </c>
      <c r="O397" s="8">
        <f t="shared" si="13"/>
        <v>40886.25</v>
      </c>
      <c r="P397" s="5">
        <f>_xlfn.DAYS(Table2[[#This Row],[Date Ended Conversion]],Table2[[#This Row],[Date Created Conversion]])+1</f>
        <v>2</v>
      </c>
      <c r="Q397" t="b">
        <v>1</v>
      </c>
      <c r="R397" t="b">
        <v>0</v>
      </c>
      <c r="S397" t="s">
        <v>33</v>
      </c>
      <c r="T397" t="str">
        <f>_xlfn.TEXTBEFORE(Table2[[#This Row],[category &amp; sub-category]],"/")</f>
        <v>theater</v>
      </c>
      <c r="U397" t="str">
        <f>_xlfn.TEXTAFTER(Table2[[#This Row],[category &amp; sub-category]],"/")</f>
        <v>plays</v>
      </c>
    </row>
    <row r="398" spans="1:21" ht="17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5">
        <f>100*Table2[[#This Row],[pledged]]/Table2[[#This Row],[goal]]</f>
        <v>167.05422993492408</v>
      </c>
      <c r="G398" t="s">
        <v>20</v>
      </c>
      <c r="H398">
        <v>1604</v>
      </c>
      <c r="I398" s="4">
        <f>IF(Table2[[#This Row],[pledged]]&gt;0,Table2[[#This Row],[pledged]]/Table2[[#This Row],[backers_count]],0)</f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8">
        <f t="shared" si="12"/>
        <v>43378.208333333328</v>
      </c>
      <c r="O398" s="8">
        <f t="shared" si="13"/>
        <v>43386.208333333328</v>
      </c>
      <c r="P398" s="5">
        <f>_xlfn.DAYS(Table2[[#This Row],[Date Ended Conversion]],Table2[[#This Row],[Date Created Conversion]])+1</f>
        <v>9</v>
      </c>
      <c r="Q398" t="b">
        <v>0</v>
      </c>
      <c r="R398" t="b">
        <v>0</v>
      </c>
      <c r="S398" t="s">
        <v>53</v>
      </c>
      <c r="T398" t="str">
        <f>_xlfn.TEXTBEFORE(Table2[[#This Row],[category &amp; sub-category]],"/")</f>
        <v>film &amp; video</v>
      </c>
      <c r="U398" t="str">
        <f>_xlfn.TEXTAFTER(Table2[[#This Row],[category &amp; sub-category]],"/")</f>
        <v>drama</v>
      </c>
    </row>
    <row r="399" spans="1:21" ht="17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5">
        <f>100*Table2[[#This Row],[pledged]]/Table2[[#This Row],[goal]]</f>
        <v>173.8641975308642</v>
      </c>
      <c r="G399" t="s">
        <v>20</v>
      </c>
      <c r="H399">
        <v>454</v>
      </c>
      <c r="I399" s="4">
        <f>IF(Table2[[#This Row],[pledged]]&gt;0,Table2[[#This Row],[pledged]]/Table2[[#This Row],[backers_count]],0)</f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8">
        <f t="shared" si="12"/>
        <v>41417.208333333336</v>
      </c>
      <c r="O399" s="8">
        <f t="shared" si="13"/>
        <v>41423.208333333336</v>
      </c>
      <c r="P399" s="5">
        <f>_xlfn.DAYS(Table2[[#This Row],[Date Ended Conversion]],Table2[[#This Row],[Date Created Conversion]])+1</f>
        <v>7</v>
      </c>
      <c r="Q399" t="b">
        <v>0</v>
      </c>
      <c r="R399" t="b">
        <v>0</v>
      </c>
      <c r="S399" t="s">
        <v>23</v>
      </c>
      <c r="T399" t="str">
        <f>_xlfn.TEXTBEFORE(Table2[[#This Row],[category &amp; sub-category]],"/")</f>
        <v>music</v>
      </c>
      <c r="U399" t="str">
        <f>_xlfn.TEXTAFTER(Table2[[#This Row],[category &amp; sub-category]],"/")</f>
        <v>rock</v>
      </c>
    </row>
    <row r="400" spans="1:21" ht="34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5">
        <f>100*Table2[[#This Row],[pledged]]/Table2[[#This Row],[goal]]</f>
        <v>717.76470588235293</v>
      </c>
      <c r="G400" t="s">
        <v>20</v>
      </c>
      <c r="H400">
        <v>123</v>
      </c>
      <c r="I400" s="4">
        <f>IF(Table2[[#This Row],[pledged]]&gt;0,Table2[[#This Row],[pledged]]/Table2[[#This Row],[backers_count]],0)</f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8">
        <f t="shared" si="12"/>
        <v>43228.208333333328</v>
      </c>
      <c r="O400" s="8">
        <f t="shared" si="13"/>
        <v>43230.208333333328</v>
      </c>
      <c r="P400" s="5">
        <f>_xlfn.DAYS(Table2[[#This Row],[Date Ended Conversion]],Table2[[#This Row],[Date Created Conversion]])+1</f>
        <v>3</v>
      </c>
      <c r="Q400" t="b">
        <v>0</v>
      </c>
      <c r="R400" t="b">
        <v>1</v>
      </c>
      <c r="S400" t="s">
        <v>71</v>
      </c>
      <c r="T400" t="str">
        <f>_xlfn.TEXTBEFORE(Table2[[#This Row],[category &amp; sub-category]],"/")</f>
        <v>film &amp; video</v>
      </c>
      <c r="U400" t="str">
        <f>_xlfn.TEXTAFTER(Table2[[#This Row],[category &amp; sub-category]],"/")</f>
        <v>animation</v>
      </c>
    </row>
    <row r="401" spans="1:21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5">
        <f>100*Table2[[#This Row],[pledged]]/Table2[[#This Row],[goal]]</f>
        <v>63.850976361767728</v>
      </c>
      <c r="G401" t="s">
        <v>14</v>
      </c>
      <c r="H401">
        <v>941</v>
      </c>
      <c r="I401" s="4">
        <f>IF(Table2[[#This Row],[pledged]]&gt;0,Table2[[#This Row],[pledged]]/Table2[[#This Row],[backers_count]],0)</f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8">
        <f t="shared" si="12"/>
        <v>40576.25</v>
      </c>
      <c r="O401" s="8">
        <f t="shared" si="13"/>
        <v>40583.25</v>
      </c>
      <c r="P401" s="5">
        <f>_xlfn.DAYS(Table2[[#This Row],[Date Ended Conversion]],Table2[[#This Row],[Date Created Conversion]])+1</f>
        <v>8</v>
      </c>
      <c r="Q401" t="b">
        <v>0</v>
      </c>
      <c r="R401" t="b">
        <v>0</v>
      </c>
      <c r="S401" t="s">
        <v>60</v>
      </c>
      <c r="T401" t="str">
        <f>_xlfn.TEXTBEFORE(Table2[[#This Row],[category &amp; sub-category]],"/")</f>
        <v>music</v>
      </c>
      <c r="U401" t="str">
        <f>_xlfn.TEXTAFTER(Table2[[#This Row],[category &amp; sub-category]],"/")</f>
        <v>indie rock</v>
      </c>
    </row>
    <row r="402" spans="1:21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5">
        <f>100*Table2[[#This Row],[pledged]]/Table2[[#This Row],[goal]]</f>
        <v>2</v>
      </c>
      <c r="G402" t="s">
        <v>14</v>
      </c>
      <c r="H402">
        <v>1</v>
      </c>
      <c r="I402" s="4">
        <f>IF(Table2[[#This Row],[pledged]]&gt;0,Table2[[#This Row],[pledged]]/Table2[[#This Row],[backers_count]],0)</f>
        <v>2</v>
      </c>
      <c r="J402" t="s">
        <v>21</v>
      </c>
      <c r="K402" t="s">
        <v>22</v>
      </c>
      <c r="L402">
        <v>1376629200</v>
      </c>
      <c r="M402">
        <v>1378530000</v>
      </c>
      <c r="N402" s="8">
        <f t="shared" si="12"/>
        <v>41502.208333333336</v>
      </c>
      <c r="O402" s="8">
        <f t="shared" si="13"/>
        <v>41524.208333333336</v>
      </c>
      <c r="P402" s="5">
        <f>_xlfn.DAYS(Table2[[#This Row],[Date Ended Conversion]],Table2[[#This Row],[Date Created Conversion]])+1</f>
        <v>23</v>
      </c>
      <c r="Q402" t="b">
        <v>0</v>
      </c>
      <c r="R402" t="b">
        <v>1</v>
      </c>
      <c r="S402" t="s">
        <v>122</v>
      </c>
      <c r="T402" t="str">
        <f>_xlfn.TEXTBEFORE(Table2[[#This Row],[category &amp; sub-category]],"/")</f>
        <v>photography</v>
      </c>
      <c r="U402" t="str">
        <f>_xlfn.TEXTAFTER(Table2[[#This Row],[category &amp; sub-category]],"/")</f>
        <v>photography books</v>
      </c>
    </row>
    <row r="403" spans="1:21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5">
        <f>100*Table2[[#This Row],[pledged]]/Table2[[#This Row],[goal]]</f>
        <v>1530.2222222222222</v>
      </c>
      <c r="G403" t="s">
        <v>20</v>
      </c>
      <c r="H403">
        <v>299</v>
      </c>
      <c r="I403" s="4">
        <f>IF(Table2[[#This Row],[pledged]]&gt;0,Table2[[#This Row],[pledged]]/Table2[[#This Row],[backers_count]],0)</f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8">
        <f t="shared" si="12"/>
        <v>43765.208333333328</v>
      </c>
      <c r="O403" s="8">
        <f t="shared" si="13"/>
        <v>43765.208333333328</v>
      </c>
      <c r="P403" s="5">
        <f>_xlfn.DAYS(Table2[[#This Row],[Date Ended Conversion]],Table2[[#This Row],[Date Created Conversion]])+1</f>
        <v>1</v>
      </c>
      <c r="Q403" t="b">
        <v>0</v>
      </c>
      <c r="R403" t="b">
        <v>0</v>
      </c>
      <c r="S403" t="s">
        <v>33</v>
      </c>
      <c r="T403" t="str">
        <f>_xlfn.TEXTBEFORE(Table2[[#This Row],[category &amp; sub-category]],"/")</f>
        <v>theater</v>
      </c>
      <c r="U403" t="str">
        <f>_xlfn.TEXTAFTER(Table2[[#This Row],[category &amp; sub-category]],"/")</f>
        <v>plays</v>
      </c>
    </row>
    <row r="404" spans="1:21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5">
        <f>100*Table2[[#This Row],[pledged]]/Table2[[#This Row],[goal]]</f>
        <v>40.356164383561641</v>
      </c>
      <c r="G404" t="s">
        <v>14</v>
      </c>
      <c r="H404">
        <v>40</v>
      </c>
      <c r="I404" s="4">
        <f>IF(Table2[[#This Row],[pledged]]&gt;0,Table2[[#This Row],[pledged]]/Table2[[#This Row],[backers_count]],0)</f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8">
        <f t="shared" si="12"/>
        <v>40914.25</v>
      </c>
      <c r="O404" s="8">
        <f t="shared" si="13"/>
        <v>40961.25</v>
      </c>
      <c r="P404" s="5">
        <f>_xlfn.DAYS(Table2[[#This Row],[Date Ended Conversion]],Table2[[#This Row],[Date Created Conversion]])+1</f>
        <v>48</v>
      </c>
      <c r="Q404" t="b">
        <v>0</v>
      </c>
      <c r="R404" t="b">
        <v>1</v>
      </c>
      <c r="S404" t="s">
        <v>100</v>
      </c>
      <c r="T404" t="str">
        <f>_xlfn.TEXTBEFORE(Table2[[#This Row],[category &amp; sub-category]],"/")</f>
        <v>film &amp; video</v>
      </c>
      <c r="U404" t="str">
        <f>_xlfn.TEXTAFTER(Table2[[#This Row],[category &amp; sub-category]],"/")</f>
        <v>shorts</v>
      </c>
    </row>
    <row r="405" spans="1:21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5">
        <f>100*Table2[[#This Row],[pledged]]/Table2[[#This Row],[goal]]</f>
        <v>86.220633299284984</v>
      </c>
      <c r="G405" t="s">
        <v>14</v>
      </c>
      <c r="H405">
        <v>3015</v>
      </c>
      <c r="I405" s="4">
        <f>IF(Table2[[#This Row],[pledged]]&gt;0,Table2[[#This Row],[pledged]]/Table2[[#This Row],[backers_count]],0)</f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8">
        <f t="shared" si="12"/>
        <v>40310.208333333336</v>
      </c>
      <c r="O405" s="8">
        <f t="shared" si="13"/>
        <v>40346.208333333336</v>
      </c>
      <c r="P405" s="5">
        <f>_xlfn.DAYS(Table2[[#This Row],[Date Ended Conversion]],Table2[[#This Row],[Date Created Conversion]])+1</f>
        <v>37</v>
      </c>
      <c r="Q405" t="b">
        <v>0</v>
      </c>
      <c r="R405" t="b">
        <v>1</v>
      </c>
      <c r="S405" t="s">
        <v>33</v>
      </c>
      <c r="T405" t="str">
        <f>_xlfn.TEXTBEFORE(Table2[[#This Row],[category &amp; sub-category]],"/")</f>
        <v>theater</v>
      </c>
      <c r="U405" t="str">
        <f>_xlfn.TEXTAFTER(Table2[[#This Row],[category &amp; sub-category]],"/")</f>
        <v>plays</v>
      </c>
    </row>
    <row r="406" spans="1:21" ht="17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5">
        <f>100*Table2[[#This Row],[pledged]]/Table2[[#This Row],[goal]]</f>
        <v>315.58486707566465</v>
      </c>
      <c r="G406" t="s">
        <v>20</v>
      </c>
      <c r="H406">
        <v>2237</v>
      </c>
      <c r="I406" s="4">
        <f>IF(Table2[[#This Row],[pledged]]&gt;0,Table2[[#This Row],[pledged]]/Table2[[#This Row],[backers_count]],0)</f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8">
        <f t="shared" si="12"/>
        <v>43053.25</v>
      </c>
      <c r="O406" s="8">
        <f t="shared" si="13"/>
        <v>43056.25</v>
      </c>
      <c r="P406" s="5">
        <f>_xlfn.DAYS(Table2[[#This Row],[Date Ended Conversion]],Table2[[#This Row],[Date Created Conversion]])+1</f>
        <v>4</v>
      </c>
      <c r="Q406" t="b">
        <v>0</v>
      </c>
      <c r="R406" t="b">
        <v>0</v>
      </c>
      <c r="S406" t="s">
        <v>33</v>
      </c>
      <c r="T406" t="str">
        <f>_xlfn.TEXTBEFORE(Table2[[#This Row],[category &amp; sub-category]],"/")</f>
        <v>theater</v>
      </c>
      <c r="U406" t="str">
        <f>_xlfn.TEXTAFTER(Table2[[#This Row],[category &amp; sub-category]],"/")</f>
        <v>plays</v>
      </c>
    </row>
    <row r="407" spans="1:21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5">
        <f>100*Table2[[#This Row],[pledged]]/Table2[[#This Row],[goal]]</f>
        <v>89.618243243243242</v>
      </c>
      <c r="G407" t="s">
        <v>14</v>
      </c>
      <c r="H407">
        <v>435</v>
      </c>
      <c r="I407" s="4">
        <f>IF(Table2[[#This Row],[pledged]]&gt;0,Table2[[#This Row],[pledged]]/Table2[[#This Row],[backers_count]],0)</f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8">
        <f t="shared" si="12"/>
        <v>43255.208333333328</v>
      </c>
      <c r="O407" s="8">
        <f t="shared" si="13"/>
        <v>43305.208333333328</v>
      </c>
      <c r="P407" s="5">
        <f>_xlfn.DAYS(Table2[[#This Row],[Date Ended Conversion]],Table2[[#This Row],[Date Created Conversion]])+1</f>
        <v>51</v>
      </c>
      <c r="Q407" t="b">
        <v>0</v>
      </c>
      <c r="R407" t="b">
        <v>0</v>
      </c>
      <c r="S407" t="s">
        <v>33</v>
      </c>
      <c r="T407" t="str">
        <f>_xlfn.TEXTBEFORE(Table2[[#This Row],[category &amp; sub-category]],"/")</f>
        <v>theater</v>
      </c>
      <c r="U407" t="str">
        <f>_xlfn.TEXTAFTER(Table2[[#This Row],[category &amp; sub-category]],"/")</f>
        <v>plays</v>
      </c>
    </row>
    <row r="408" spans="1:21" ht="17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5">
        <f>100*Table2[[#This Row],[pledged]]/Table2[[#This Row],[goal]]</f>
        <v>182.14503816793894</v>
      </c>
      <c r="G408" t="s">
        <v>20</v>
      </c>
      <c r="H408">
        <v>645</v>
      </c>
      <c r="I408" s="4">
        <f>IF(Table2[[#This Row],[pledged]]&gt;0,Table2[[#This Row],[pledged]]/Table2[[#This Row],[backers_count]],0)</f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8">
        <f t="shared" si="12"/>
        <v>41304.25</v>
      </c>
      <c r="O408" s="8">
        <f t="shared" si="13"/>
        <v>41316.25</v>
      </c>
      <c r="P408" s="5">
        <f>_xlfn.DAYS(Table2[[#This Row],[Date Ended Conversion]],Table2[[#This Row],[Date Created Conversion]])+1</f>
        <v>13</v>
      </c>
      <c r="Q408" t="b">
        <v>1</v>
      </c>
      <c r="R408" t="b">
        <v>0</v>
      </c>
      <c r="S408" t="s">
        <v>42</v>
      </c>
      <c r="T408" t="str">
        <f>_xlfn.TEXTBEFORE(Table2[[#This Row],[category &amp; sub-category]],"/")</f>
        <v>film &amp; video</v>
      </c>
      <c r="U408" t="str">
        <f>_xlfn.TEXTAFTER(Table2[[#This Row],[category &amp; sub-category]],"/")</f>
        <v>documentary</v>
      </c>
    </row>
    <row r="409" spans="1:21" ht="17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5">
        <f>100*Table2[[#This Row],[pledged]]/Table2[[#This Row],[goal]]</f>
        <v>355.88235294117646</v>
      </c>
      <c r="G409" t="s">
        <v>20</v>
      </c>
      <c r="H409">
        <v>484</v>
      </c>
      <c r="I409" s="4">
        <f>IF(Table2[[#This Row],[pledged]]&gt;0,Table2[[#This Row],[pledged]]/Table2[[#This Row],[backers_count]],0)</f>
        <v>25</v>
      </c>
      <c r="J409" t="s">
        <v>36</v>
      </c>
      <c r="K409" t="s">
        <v>37</v>
      </c>
      <c r="L409">
        <v>1570942800</v>
      </c>
      <c r="M409">
        <v>1571547600</v>
      </c>
      <c r="N409" s="8">
        <f t="shared" si="12"/>
        <v>43751.208333333328</v>
      </c>
      <c r="O409" s="8">
        <f t="shared" si="13"/>
        <v>43758.208333333328</v>
      </c>
      <c r="P409" s="5">
        <f>_xlfn.DAYS(Table2[[#This Row],[Date Ended Conversion]],Table2[[#This Row],[Date Created Conversion]])+1</f>
        <v>8</v>
      </c>
      <c r="Q409" t="b">
        <v>0</v>
      </c>
      <c r="R409" t="b">
        <v>0</v>
      </c>
      <c r="S409" t="s">
        <v>33</v>
      </c>
      <c r="T409" t="str">
        <f>_xlfn.TEXTBEFORE(Table2[[#This Row],[category &amp; sub-category]],"/")</f>
        <v>theater</v>
      </c>
      <c r="U409" t="str">
        <f>_xlfn.TEXTAFTER(Table2[[#This Row],[category &amp; sub-category]],"/")</f>
        <v>plays</v>
      </c>
    </row>
    <row r="410" spans="1:21" ht="17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5">
        <f>100*Table2[[#This Row],[pledged]]/Table2[[#This Row],[goal]]</f>
        <v>131.83695652173913</v>
      </c>
      <c r="G410" t="s">
        <v>20</v>
      </c>
      <c r="H410">
        <v>154</v>
      </c>
      <c r="I410" s="4">
        <f>IF(Table2[[#This Row],[pledged]]&gt;0,Table2[[#This Row],[pledged]]/Table2[[#This Row],[backers_count]],0)</f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8">
        <f t="shared" si="12"/>
        <v>42541.208333333328</v>
      </c>
      <c r="O410" s="8">
        <f t="shared" si="13"/>
        <v>42561.208333333328</v>
      </c>
      <c r="P410" s="5">
        <f>_xlfn.DAYS(Table2[[#This Row],[Date Ended Conversion]],Table2[[#This Row],[Date Created Conversion]])+1</f>
        <v>21</v>
      </c>
      <c r="Q410" t="b">
        <v>0</v>
      </c>
      <c r="R410" t="b">
        <v>0</v>
      </c>
      <c r="S410" t="s">
        <v>42</v>
      </c>
      <c r="T410" t="str">
        <f>_xlfn.TEXTBEFORE(Table2[[#This Row],[category &amp; sub-category]],"/")</f>
        <v>film &amp; video</v>
      </c>
      <c r="U410" t="str">
        <f>_xlfn.TEXTAFTER(Table2[[#This Row],[category &amp; sub-category]],"/")</f>
        <v>documentary</v>
      </c>
    </row>
    <row r="411" spans="1:21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5">
        <f>100*Table2[[#This Row],[pledged]]/Table2[[#This Row],[goal]]</f>
        <v>46.315634218289084</v>
      </c>
      <c r="G411" t="s">
        <v>14</v>
      </c>
      <c r="H411">
        <v>714</v>
      </c>
      <c r="I411" s="4">
        <f>IF(Table2[[#This Row],[pledged]]&gt;0,Table2[[#This Row],[pledged]]/Table2[[#This Row],[backers_count]],0)</f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8">
        <f t="shared" si="12"/>
        <v>42843.208333333328</v>
      </c>
      <c r="O411" s="8">
        <f t="shared" si="13"/>
        <v>42847.208333333328</v>
      </c>
      <c r="P411" s="5">
        <f>_xlfn.DAYS(Table2[[#This Row],[Date Ended Conversion]],Table2[[#This Row],[Date Created Conversion]])+1</f>
        <v>5</v>
      </c>
      <c r="Q411" t="b">
        <v>0</v>
      </c>
      <c r="R411" t="b">
        <v>0</v>
      </c>
      <c r="S411" t="s">
        <v>23</v>
      </c>
      <c r="T411" t="str">
        <f>_xlfn.TEXTBEFORE(Table2[[#This Row],[category &amp; sub-category]],"/")</f>
        <v>music</v>
      </c>
      <c r="U411" t="str">
        <f>_xlfn.TEXTAFTER(Table2[[#This Row],[category &amp; sub-category]],"/")</f>
        <v>rock</v>
      </c>
    </row>
    <row r="412" spans="1:21" ht="17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5">
        <f>100*Table2[[#This Row],[pledged]]/Table2[[#This Row],[goal]]</f>
        <v>36.132726089785294</v>
      </c>
      <c r="G412" t="s">
        <v>47</v>
      </c>
      <c r="H412">
        <v>1111</v>
      </c>
      <c r="I412" s="4">
        <f>IF(Table2[[#This Row],[pledged]]&gt;0,Table2[[#This Row],[pledged]]/Table2[[#This Row],[backers_count]],0)</f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8">
        <f t="shared" si="12"/>
        <v>42122.208333333328</v>
      </c>
      <c r="O412" s="8">
        <f t="shared" si="13"/>
        <v>42122.208333333328</v>
      </c>
      <c r="P412" s="5">
        <f>_xlfn.DAYS(Table2[[#This Row],[Date Ended Conversion]],Table2[[#This Row],[Date Created Conversion]])+1</f>
        <v>1</v>
      </c>
      <c r="Q412" t="b">
        <v>0</v>
      </c>
      <c r="R412" t="b">
        <v>0</v>
      </c>
      <c r="S412" t="s">
        <v>292</v>
      </c>
      <c r="T412" t="str">
        <f>_xlfn.TEXTBEFORE(Table2[[#This Row],[category &amp; sub-category]],"/")</f>
        <v>games</v>
      </c>
      <c r="U412" t="str">
        <f>_xlfn.TEXTAFTER(Table2[[#This Row],[category &amp; sub-category]],"/")</f>
        <v>mobile games</v>
      </c>
    </row>
    <row r="413" spans="1:21" ht="17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5">
        <f>100*Table2[[#This Row],[pledged]]/Table2[[#This Row],[goal]]</f>
        <v>104.62820512820512</v>
      </c>
      <c r="G413" t="s">
        <v>20</v>
      </c>
      <c r="H413">
        <v>82</v>
      </c>
      <c r="I413" s="4">
        <f>IF(Table2[[#This Row],[pledged]]&gt;0,Table2[[#This Row],[pledged]]/Table2[[#This Row],[backers_count]],0)</f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8">
        <f t="shared" si="12"/>
        <v>42884.208333333328</v>
      </c>
      <c r="O413" s="8">
        <f t="shared" si="13"/>
        <v>42886.208333333328</v>
      </c>
      <c r="P413" s="5">
        <f>_xlfn.DAYS(Table2[[#This Row],[Date Ended Conversion]],Table2[[#This Row],[Date Created Conversion]])+1</f>
        <v>3</v>
      </c>
      <c r="Q413" t="b">
        <v>0</v>
      </c>
      <c r="R413" t="b">
        <v>0</v>
      </c>
      <c r="S413" t="s">
        <v>33</v>
      </c>
      <c r="T413" t="str">
        <f>_xlfn.TEXTBEFORE(Table2[[#This Row],[category &amp; sub-category]],"/")</f>
        <v>theater</v>
      </c>
      <c r="U413" t="str">
        <f>_xlfn.TEXTAFTER(Table2[[#This Row],[category &amp; sub-category]],"/")</f>
        <v>plays</v>
      </c>
    </row>
    <row r="414" spans="1:21" ht="17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5">
        <f>100*Table2[[#This Row],[pledged]]/Table2[[#This Row],[goal]]</f>
        <v>668.85714285714289</v>
      </c>
      <c r="G414" t="s">
        <v>20</v>
      </c>
      <c r="H414">
        <v>134</v>
      </c>
      <c r="I414" s="4">
        <f>IF(Table2[[#This Row],[pledged]]&gt;0,Table2[[#This Row],[pledged]]/Table2[[#This Row],[backers_count]],0)</f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8">
        <f t="shared" si="12"/>
        <v>41642.25</v>
      </c>
      <c r="O414" s="8">
        <f t="shared" si="13"/>
        <v>41652.25</v>
      </c>
      <c r="P414" s="5">
        <f>_xlfn.DAYS(Table2[[#This Row],[Date Ended Conversion]],Table2[[#This Row],[Date Created Conversion]])+1</f>
        <v>11</v>
      </c>
      <c r="Q414" t="b">
        <v>0</v>
      </c>
      <c r="R414" t="b">
        <v>0</v>
      </c>
      <c r="S414" t="s">
        <v>119</v>
      </c>
      <c r="T414" t="str">
        <f>_xlfn.TEXTBEFORE(Table2[[#This Row],[category &amp; sub-category]],"/")</f>
        <v>publishing</v>
      </c>
      <c r="U414" t="str">
        <f>_xlfn.TEXTAFTER(Table2[[#This Row],[category &amp; sub-category]],"/")</f>
        <v>fiction</v>
      </c>
    </row>
    <row r="415" spans="1:21" ht="17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5">
        <f>100*Table2[[#This Row],[pledged]]/Table2[[#This Row],[goal]]</f>
        <v>62.072823218997364</v>
      </c>
      <c r="G415" t="s">
        <v>47</v>
      </c>
      <c r="H415">
        <v>1089</v>
      </c>
      <c r="I415" s="4">
        <f>IF(Table2[[#This Row],[pledged]]&gt;0,Table2[[#This Row],[pledged]]/Table2[[#This Row],[backers_count]],0)</f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8">
        <f t="shared" si="12"/>
        <v>43431.25</v>
      </c>
      <c r="O415" s="8">
        <f t="shared" si="13"/>
        <v>43458.25</v>
      </c>
      <c r="P415" s="5">
        <f>_xlfn.DAYS(Table2[[#This Row],[Date Ended Conversion]],Table2[[#This Row],[Date Created Conversion]])+1</f>
        <v>28</v>
      </c>
      <c r="Q415" t="b">
        <v>0</v>
      </c>
      <c r="R415" t="b">
        <v>0</v>
      </c>
      <c r="S415" t="s">
        <v>71</v>
      </c>
      <c r="T415" t="str">
        <f>_xlfn.TEXTBEFORE(Table2[[#This Row],[category &amp; sub-category]],"/")</f>
        <v>film &amp; video</v>
      </c>
      <c r="U415" t="str">
        <f>_xlfn.TEXTAFTER(Table2[[#This Row],[category &amp; sub-category]],"/")</f>
        <v>animation</v>
      </c>
    </row>
    <row r="416" spans="1:21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5">
        <f>100*Table2[[#This Row],[pledged]]/Table2[[#This Row],[goal]]</f>
        <v>84.699787460148784</v>
      </c>
      <c r="G416" t="s">
        <v>14</v>
      </c>
      <c r="H416">
        <v>5497</v>
      </c>
      <c r="I416" s="4">
        <f>IF(Table2[[#This Row],[pledged]]&gt;0,Table2[[#This Row],[pledged]]/Table2[[#This Row],[backers_count]],0)</f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8">
        <f t="shared" si="12"/>
        <v>40288.208333333336</v>
      </c>
      <c r="O416" s="8">
        <f t="shared" si="13"/>
        <v>40296.208333333336</v>
      </c>
      <c r="P416" s="5">
        <f>_xlfn.DAYS(Table2[[#This Row],[Date Ended Conversion]],Table2[[#This Row],[Date Created Conversion]])+1</f>
        <v>9</v>
      </c>
      <c r="Q416" t="b">
        <v>0</v>
      </c>
      <c r="R416" t="b">
        <v>1</v>
      </c>
      <c r="S416" t="s">
        <v>17</v>
      </c>
      <c r="T416" t="str">
        <f>_xlfn.TEXTBEFORE(Table2[[#This Row],[category &amp; sub-category]],"/")</f>
        <v>food</v>
      </c>
      <c r="U416" t="str">
        <f>_xlfn.TEXTAFTER(Table2[[#This Row],[category &amp; sub-category]],"/")</f>
        <v>food trucks</v>
      </c>
    </row>
    <row r="417" spans="1:21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5">
        <f>100*Table2[[#This Row],[pledged]]/Table2[[#This Row],[goal]]</f>
        <v>11.059030837004405</v>
      </c>
      <c r="G417" t="s">
        <v>14</v>
      </c>
      <c r="H417">
        <v>418</v>
      </c>
      <c r="I417" s="4">
        <f>IF(Table2[[#This Row],[pledged]]&gt;0,Table2[[#This Row],[pledged]]/Table2[[#This Row],[backers_count]],0)</f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8">
        <f t="shared" si="12"/>
        <v>40921.25</v>
      </c>
      <c r="O417" s="8">
        <f t="shared" si="13"/>
        <v>40938.25</v>
      </c>
      <c r="P417" s="5">
        <f>_xlfn.DAYS(Table2[[#This Row],[Date Ended Conversion]],Table2[[#This Row],[Date Created Conversion]])+1</f>
        <v>18</v>
      </c>
      <c r="Q417" t="b">
        <v>0</v>
      </c>
      <c r="R417" t="b">
        <v>0</v>
      </c>
      <c r="S417" t="s">
        <v>33</v>
      </c>
      <c r="T417" t="str">
        <f>_xlfn.TEXTBEFORE(Table2[[#This Row],[category &amp; sub-category]],"/")</f>
        <v>theater</v>
      </c>
      <c r="U417" t="str">
        <f>_xlfn.TEXTAFTER(Table2[[#This Row],[category &amp; sub-category]],"/")</f>
        <v>plays</v>
      </c>
    </row>
    <row r="418" spans="1:21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5">
        <f>100*Table2[[#This Row],[pledged]]/Table2[[#This Row],[goal]]</f>
        <v>43.838781575037146</v>
      </c>
      <c r="G418" t="s">
        <v>14</v>
      </c>
      <c r="H418">
        <v>1439</v>
      </c>
      <c r="I418" s="4">
        <f>IF(Table2[[#This Row],[pledged]]&gt;0,Table2[[#This Row],[pledged]]/Table2[[#This Row],[backers_count]],0)</f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8">
        <f t="shared" si="12"/>
        <v>40560.25</v>
      </c>
      <c r="O418" s="8">
        <f t="shared" si="13"/>
        <v>40569.25</v>
      </c>
      <c r="P418" s="5">
        <f>_xlfn.DAYS(Table2[[#This Row],[Date Ended Conversion]],Table2[[#This Row],[Date Created Conversion]])+1</f>
        <v>10</v>
      </c>
      <c r="Q418" t="b">
        <v>0</v>
      </c>
      <c r="R418" t="b">
        <v>1</v>
      </c>
      <c r="S418" t="s">
        <v>42</v>
      </c>
      <c r="T418" t="str">
        <f>_xlfn.TEXTBEFORE(Table2[[#This Row],[category &amp; sub-category]],"/")</f>
        <v>film &amp; video</v>
      </c>
      <c r="U418" t="str">
        <f>_xlfn.TEXTAFTER(Table2[[#This Row],[category &amp; sub-category]],"/")</f>
        <v>documentary</v>
      </c>
    </row>
    <row r="419" spans="1:21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5">
        <f>100*Table2[[#This Row],[pledged]]/Table2[[#This Row],[goal]]</f>
        <v>55.470588235294116</v>
      </c>
      <c r="G419" t="s">
        <v>14</v>
      </c>
      <c r="H419">
        <v>15</v>
      </c>
      <c r="I419" s="4">
        <f>IF(Table2[[#This Row],[pledged]]&gt;0,Table2[[#This Row],[pledged]]/Table2[[#This Row],[backers_count]],0)</f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8">
        <f t="shared" si="12"/>
        <v>43407.208333333328</v>
      </c>
      <c r="O419" s="8">
        <f t="shared" si="13"/>
        <v>43431.25</v>
      </c>
      <c r="P419" s="5">
        <f>_xlfn.DAYS(Table2[[#This Row],[Date Ended Conversion]],Table2[[#This Row],[Date Created Conversion]])+1</f>
        <v>25</v>
      </c>
      <c r="Q419" t="b">
        <v>0</v>
      </c>
      <c r="R419" t="b">
        <v>0</v>
      </c>
      <c r="S419" t="s">
        <v>33</v>
      </c>
      <c r="T419" t="str">
        <f>_xlfn.TEXTBEFORE(Table2[[#This Row],[category &amp; sub-category]],"/")</f>
        <v>theater</v>
      </c>
      <c r="U419" t="str">
        <f>_xlfn.TEXTAFTER(Table2[[#This Row],[category &amp; sub-category]],"/")</f>
        <v>plays</v>
      </c>
    </row>
    <row r="420" spans="1:21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5">
        <f>100*Table2[[#This Row],[pledged]]/Table2[[#This Row],[goal]]</f>
        <v>57.399511301160658</v>
      </c>
      <c r="G420" t="s">
        <v>14</v>
      </c>
      <c r="H420">
        <v>1999</v>
      </c>
      <c r="I420" s="4">
        <f>IF(Table2[[#This Row],[pledged]]&gt;0,Table2[[#This Row],[pledged]]/Table2[[#This Row],[backers_count]],0)</f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8">
        <f t="shared" si="12"/>
        <v>41035.208333333336</v>
      </c>
      <c r="O420" s="8">
        <f t="shared" si="13"/>
        <v>41036.208333333336</v>
      </c>
      <c r="P420" s="5">
        <f>_xlfn.DAYS(Table2[[#This Row],[Date Ended Conversion]],Table2[[#This Row],[Date Created Conversion]])+1</f>
        <v>2</v>
      </c>
      <c r="Q420" t="b">
        <v>0</v>
      </c>
      <c r="R420" t="b">
        <v>0</v>
      </c>
      <c r="S420" t="s">
        <v>42</v>
      </c>
      <c r="T420" t="str">
        <f>_xlfn.TEXTBEFORE(Table2[[#This Row],[category &amp; sub-category]],"/")</f>
        <v>film &amp; video</v>
      </c>
      <c r="U420" t="str">
        <f>_xlfn.TEXTAFTER(Table2[[#This Row],[category &amp; sub-category]],"/")</f>
        <v>documentary</v>
      </c>
    </row>
    <row r="421" spans="1:21" ht="17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5">
        <f>100*Table2[[#This Row],[pledged]]/Table2[[#This Row],[goal]]</f>
        <v>123.43497363796133</v>
      </c>
      <c r="G421" t="s">
        <v>20</v>
      </c>
      <c r="H421">
        <v>5203</v>
      </c>
      <c r="I421" s="4">
        <f>IF(Table2[[#This Row],[pledged]]&gt;0,Table2[[#This Row],[pledged]]/Table2[[#This Row],[backers_count]],0)</f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8">
        <f t="shared" si="12"/>
        <v>40899.25</v>
      </c>
      <c r="O421" s="8">
        <f t="shared" si="13"/>
        <v>40905.25</v>
      </c>
      <c r="P421" s="5">
        <f>_xlfn.DAYS(Table2[[#This Row],[Date Ended Conversion]],Table2[[#This Row],[Date Created Conversion]])+1</f>
        <v>7</v>
      </c>
      <c r="Q421" t="b">
        <v>0</v>
      </c>
      <c r="R421" t="b">
        <v>0</v>
      </c>
      <c r="S421" t="s">
        <v>28</v>
      </c>
      <c r="T421" t="str">
        <f>_xlfn.TEXTBEFORE(Table2[[#This Row],[category &amp; sub-category]],"/")</f>
        <v>technology</v>
      </c>
      <c r="U421" t="str">
        <f>_xlfn.TEXTAFTER(Table2[[#This Row],[category &amp; sub-category]],"/")</f>
        <v>web</v>
      </c>
    </row>
    <row r="422" spans="1:21" ht="17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5">
        <f>100*Table2[[#This Row],[pledged]]/Table2[[#This Row],[goal]]</f>
        <v>128.46</v>
      </c>
      <c r="G422" t="s">
        <v>20</v>
      </c>
      <c r="H422">
        <v>94</v>
      </c>
      <c r="I422" s="4">
        <f>IF(Table2[[#This Row],[pledged]]&gt;0,Table2[[#This Row],[pledged]]/Table2[[#This Row],[backers_count]],0)</f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8">
        <f t="shared" si="12"/>
        <v>42911.208333333328</v>
      </c>
      <c r="O422" s="8">
        <f t="shared" si="13"/>
        <v>42925.208333333328</v>
      </c>
      <c r="P422" s="5">
        <f>_xlfn.DAYS(Table2[[#This Row],[Date Ended Conversion]],Table2[[#This Row],[Date Created Conversion]])+1</f>
        <v>15</v>
      </c>
      <c r="Q422" t="b">
        <v>0</v>
      </c>
      <c r="R422" t="b">
        <v>0</v>
      </c>
      <c r="S422" t="s">
        <v>33</v>
      </c>
      <c r="T422" t="str">
        <f>_xlfn.TEXTBEFORE(Table2[[#This Row],[category &amp; sub-category]],"/")</f>
        <v>theater</v>
      </c>
      <c r="U422" t="str">
        <f>_xlfn.TEXTAFTER(Table2[[#This Row],[category &amp; sub-category]],"/")</f>
        <v>plays</v>
      </c>
    </row>
    <row r="423" spans="1:21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5">
        <f>100*Table2[[#This Row],[pledged]]/Table2[[#This Row],[goal]]</f>
        <v>63.98936170212766</v>
      </c>
      <c r="G423" t="s">
        <v>14</v>
      </c>
      <c r="H423">
        <v>118</v>
      </c>
      <c r="I423" s="4">
        <f>IF(Table2[[#This Row],[pledged]]&gt;0,Table2[[#This Row],[pledged]]/Table2[[#This Row],[backers_count]],0)</f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8">
        <f t="shared" si="12"/>
        <v>42915.208333333328</v>
      </c>
      <c r="O423" s="8">
        <f t="shared" si="13"/>
        <v>42945.208333333328</v>
      </c>
      <c r="P423" s="5">
        <f>_xlfn.DAYS(Table2[[#This Row],[Date Ended Conversion]],Table2[[#This Row],[Date Created Conversion]])+1</f>
        <v>31</v>
      </c>
      <c r="Q423" t="b">
        <v>0</v>
      </c>
      <c r="R423" t="b">
        <v>1</v>
      </c>
      <c r="S423" t="s">
        <v>65</v>
      </c>
      <c r="T423" t="str">
        <f>_xlfn.TEXTBEFORE(Table2[[#This Row],[category &amp; sub-category]],"/")</f>
        <v>technology</v>
      </c>
      <c r="U423" t="str">
        <f>_xlfn.TEXTAFTER(Table2[[#This Row],[category &amp; sub-category]],"/")</f>
        <v>wearables</v>
      </c>
    </row>
    <row r="424" spans="1:21" ht="34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5">
        <f>100*Table2[[#This Row],[pledged]]/Table2[[#This Row],[goal]]</f>
        <v>127.29885057471265</v>
      </c>
      <c r="G424" t="s">
        <v>20</v>
      </c>
      <c r="H424">
        <v>205</v>
      </c>
      <c r="I424" s="4">
        <f>IF(Table2[[#This Row],[pledged]]&gt;0,Table2[[#This Row],[pledged]]/Table2[[#This Row],[backers_count]],0)</f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8">
        <f t="shared" si="12"/>
        <v>40285.208333333336</v>
      </c>
      <c r="O424" s="8">
        <f t="shared" si="13"/>
        <v>40305.208333333336</v>
      </c>
      <c r="P424" s="5">
        <f>_xlfn.DAYS(Table2[[#This Row],[Date Ended Conversion]],Table2[[#This Row],[Date Created Conversion]])+1</f>
        <v>21</v>
      </c>
      <c r="Q424" t="b">
        <v>0</v>
      </c>
      <c r="R424" t="b">
        <v>1</v>
      </c>
      <c r="S424" t="s">
        <v>33</v>
      </c>
      <c r="T424" t="str">
        <f>_xlfn.TEXTBEFORE(Table2[[#This Row],[category &amp; sub-category]],"/")</f>
        <v>theater</v>
      </c>
      <c r="U424" t="str">
        <f>_xlfn.TEXTAFTER(Table2[[#This Row],[category &amp; sub-category]],"/")</f>
        <v>plays</v>
      </c>
    </row>
    <row r="425" spans="1:21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5">
        <f>100*Table2[[#This Row],[pledged]]/Table2[[#This Row],[goal]]</f>
        <v>10.638024357239512</v>
      </c>
      <c r="G425" t="s">
        <v>14</v>
      </c>
      <c r="H425">
        <v>162</v>
      </c>
      <c r="I425" s="4">
        <f>IF(Table2[[#This Row],[pledged]]&gt;0,Table2[[#This Row],[pledged]]/Table2[[#This Row],[backers_count]],0)</f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8">
        <f t="shared" si="12"/>
        <v>40808.208333333336</v>
      </c>
      <c r="O425" s="8">
        <f t="shared" si="13"/>
        <v>40810.208333333336</v>
      </c>
      <c r="P425" s="5">
        <f>_xlfn.DAYS(Table2[[#This Row],[Date Ended Conversion]],Table2[[#This Row],[Date Created Conversion]])+1</f>
        <v>3</v>
      </c>
      <c r="Q425" t="b">
        <v>0</v>
      </c>
      <c r="R425" t="b">
        <v>1</v>
      </c>
      <c r="S425" t="s">
        <v>17</v>
      </c>
      <c r="T425" t="str">
        <f>_xlfn.TEXTBEFORE(Table2[[#This Row],[category &amp; sub-category]],"/")</f>
        <v>food</v>
      </c>
      <c r="U425" t="str">
        <f>_xlfn.TEXTAFTER(Table2[[#This Row],[category &amp; sub-category]],"/")</f>
        <v>food trucks</v>
      </c>
    </row>
    <row r="426" spans="1:21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5">
        <f>100*Table2[[#This Row],[pledged]]/Table2[[#This Row],[goal]]</f>
        <v>40.470588235294116</v>
      </c>
      <c r="G426" t="s">
        <v>14</v>
      </c>
      <c r="H426">
        <v>83</v>
      </c>
      <c r="I426" s="4">
        <f>IF(Table2[[#This Row],[pledged]]&gt;0,Table2[[#This Row],[pledged]]/Table2[[#This Row],[backers_count]],0)</f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8">
        <f t="shared" si="12"/>
        <v>43208.208333333328</v>
      </c>
      <c r="O426" s="8">
        <f t="shared" si="13"/>
        <v>43214.208333333328</v>
      </c>
      <c r="P426" s="5">
        <f>_xlfn.DAYS(Table2[[#This Row],[Date Ended Conversion]],Table2[[#This Row],[Date Created Conversion]])+1</f>
        <v>7</v>
      </c>
      <c r="Q426" t="b">
        <v>0</v>
      </c>
      <c r="R426" t="b">
        <v>0</v>
      </c>
      <c r="S426" t="s">
        <v>60</v>
      </c>
      <c r="T426" t="str">
        <f>_xlfn.TEXTBEFORE(Table2[[#This Row],[category &amp; sub-category]],"/")</f>
        <v>music</v>
      </c>
      <c r="U426" t="str">
        <f>_xlfn.TEXTAFTER(Table2[[#This Row],[category &amp; sub-category]],"/")</f>
        <v>indie rock</v>
      </c>
    </row>
    <row r="427" spans="1:21" ht="17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5">
        <f>100*Table2[[#This Row],[pledged]]/Table2[[#This Row],[goal]]</f>
        <v>287.66666666666669</v>
      </c>
      <c r="G427" t="s">
        <v>20</v>
      </c>
      <c r="H427">
        <v>92</v>
      </c>
      <c r="I427" s="4">
        <f>IF(Table2[[#This Row],[pledged]]&gt;0,Table2[[#This Row],[pledged]]/Table2[[#This Row],[backers_count]],0)</f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8">
        <f t="shared" si="12"/>
        <v>42213.208333333328</v>
      </c>
      <c r="O427" s="8">
        <f t="shared" si="13"/>
        <v>42219.208333333328</v>
      </c>
      <c r="P427" s="5">
        <f>_xlfn.DAYS(Table2[[#This Row],[Date Ended Conversion]],Table2[[#This Row],[Date Created Conversion]])+1</f>
        <v>7</v>
      </c>
      <c r="Q427" t="b">
        <v>0</v>
      </c>
      <c r="R427" t="b">
        <v>0</v>
      </c>
      <c r="S427" t="s">
        <v>122</v>
      </c>
      <c r="T427" t="str">
        <f>_xlfn.TEXTBEFORE(Table2[[#This Row],[category &amp; sub-category]],"/")</f>
        <v>photography</v>
      </c>
      <c r="U427" t="str">
        <f>_xlfn.TEXTAFTER(Table2[[#This Row],[category &amp; sub-category]],"/")</f>
        <v>photography books</v>
      </c>
    </row>
    <row r="428" spans="1:21" ht="17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5">
        <f>100*Table2[[#This Row],[pledged]]/Table2[[#This Row],[goal]]</f>
        <v>572.94444444444446</v>
      </c>
      <c r="G428" t="s">
        <v>20</v>
      </c>
      <c r="H428">
        <v>219</v>
      </c>
      <c r="I428" s="4">
        <f>IF(Table2[[#This Row],[pledged]]&gt;0,Table2[[#This Row],[pledged]]/Table2[[#This Row],[backers_count]],0)</f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8">
        <f t="shared" si="12"/>
        <v>41332.25</v>
      </c>
      <c r="O428" s="8">
        <f t="shared" si="13"/>
        <v>41339.25</v>
      </c>
      <c r="P428" s="5">
        <f>_xlfn.DAYS(Table2[[#This Row],[Date Ended Conversion]],Table2[[#This Row],[Date Created Conversion]])+1</f>
        <v>8</v>
      </c>
      <c r="Q428" t="b">
        <v>0</v>
      </c>
      <c r="R428" t="b">
        <v>0</v>
      </c>
      <c r="S428" t="s">
        <v>33</v>
      </c>
      <c r="T428" t="str">
        <f>_xlfn.TEXTBEFORE(Table2[[#This Row],[category &amp; sub-category]],"/")</f>
        <v>theater</v>
      </c>
      <c r="U428" t="str">
        <f>_xlfn.TEXTAFTER(Table2[[#This Row],[category &amp; sub-category]],"/")</f>
        <v>plays</v>
      </c>
    </row>
    <row r="429" spans="1:21" ht="17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5">
        <f>100*Table2[[#This Row],[pledged]]/Table2[[#This Row],[goal]]</f>
        <v>112.90429799426934</v>
      </c>
      <c r="G429" t="s">
        <v>20</v>
      </c>
      <c r="H429">
        <v>2526</v>
      </c>
      <c r="I429" s="4">
        <f>IF(Table2[[#This Row],[pledged]]&gt;0,Table2[[#This Row],[pledged]]/Table2[[#This Row],[backers_count]],0)</f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8">
        <f t="shared" si="12"/>
        <v>41895.208333333336</v>
      </c>
      <c r="O429" s="8">
        <f t="shared" si="13"/>
        <v>41927.208333333336</v>
      </c>
      <c r="P429" s="5">
        <f>_xlfn.DAYS(Table2[[#This Row],[Date Ended Conversion]],Table2[[#This Row],[Date Created Conversion]])+1</f>
        <v>33</v>
      </c>
      <c r="Q429" t="b">
        <v>0</v>
      </c>
      <c r="R429" t="b">
        <v>1</v>
      </c>
      <c r="S429" t="s">
        <v>33</v>
      </c>
      <c r="T429" t="str">
        <f>_xlfn.TEXTBEFORE(Table2[[#This Row],[category &amp; sub-category]],"/")</f>
        <v>theater</v>
      </c>
      <c r="U429" t="str">
        <f>_xlfn.TEXTAFTER(Table2[[#This Row],[category &amp; sub-category]],"/")</f>
        <v>plays</v>
      </c>
    </row>
    <row r="430" spans="1:21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5">
        <f>100*Table2[[#This Row],[pledged]]/Table2[[#This Row],[goal]]</f>
        <v>46.387573964497044</v>
      </c>
      <c r="G430" t="s">
        <v>14</v>
      </c>
      <c r="H430">
        <v>747</v>
      </c>
      <c r="I430" s="4">
        <f>IF(Table2[[#This Row],[pledged]]&gt;0,Table2[[#This Row],[pledged]]/Table2[[#This Row],[backers_count]],0)</f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8">
        <f t="shared" si="12"/>
        <v>40585.25</v>
      </c>
      <c r="O430" s="8">
        <f t="shared" si="13"/>
        <v>40592.25</v>
      </c>
      <c r="P430" s="5">
        <f>_xlfn.DAYS(Table2[[#This Row],[Date Ended Conversion]],Table2[[#This Row],[Date Created Conversion]])+1</f>
        <v>8</v>
      </c>
      <c r="Q430" t="b">
        <v>0</v>
      </c>
      <c r="R430" t="b">
        <v>0</v>
      </c>
      <c r="S430" t="s">
        <v>71</v>
      </c>
      <c r="T430" t="str">
        <f>_xlfn.TEXTBEFORE(Table2[[#This Row],[category &amp; sub-category]],"/")</f>
        <v>film &amp; video</v>
      </c>
      <c r="U430" t="str">
        <f>_xlfn.TEXTAFTER(Table2[[#This Row],[category &amp; sub-category]],"/")</f>
        <v>animation</v>
      </c>
    </row>
    <row r="431" spans="1:21" ht="17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5">
        <f>100*Table2[[#This Row],[pledged]]/Table2[[#This Row],[goal]]</f>
        <v>90.675916230366497</v>
      </c>
      <c r="G431" t="s">
        <v>74</v>
      </c>
      <c r="H431">
        <v>2138</v>
      </c>
      <c r="I431" s="4">
        <f>IF(Table2[[#This Row],[pledged]]&gt;0,Table2[[#This Row],[pledged]]/Table2[[#This Row],[backers_count]],0)</f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8">
        <f t="shared" si="12"/>
        <v>41680.25</v>
      </c>
      <c r="O431" s="8">
        <f t="shared" si="13"/>
        <v>41708.208333333336</v>
      </c>
      <c r="P431" s="5">
        <f>_xlfn.DAYS(Table2[[#This Row],[Date Ended Conversion]],Table2[[#This Row],[Date Created Conversion]])+1</f>
        <v>29</v>
      </c>
      <c r="Q431" t="b">
        <v>0</v>
      </c>
      <c r="R431" t="b">
        <v>1</v>
      </c>
      <c r="S431" t="s">
        <v>122</v>
      </c>
      <c r="T431" t="str">
        <f>_xlfn.TEXTBEFORE(Table2[[#This Row],[category &amp; sub-category]],"/")</f>
        <v>photography</v>
      </c>
      <c r="U431" t="str">
        <f>_xlfn.TEXTAFTER(Table2[[#This Row],[category &amp; sub-category]],"/")</f>
        <v>photography books</v>
      </c>
    </row>
    <row r="432" spans="1:21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5">
        <f>100*Table2[[#This Row],[pledged]]/Table2[[#This Row],[goal]]</f>
        <v>67.740740740740748</v>
      </c>
      <c r="G432" t="s">
        <v>14</v>
      </c>
      <c r="H432">
        <v>84</v>
      </c>
      <c r="I432" s="4">
        <f>IF(Table2[[#This Row],[pledged]]&gt;0,Table2[[#This Row],[pledged]]/Table2[[#This Row],[backers_count]],0)</f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8">
        <f t="shared" si="12"/>
        <v>43737.208333333328</v>
      </c>
      <c r="O432" s="8">
        <f t="shared" si="13"/>
        <v>43771.208333333328</v>
      </c>
      <c r="P432" s="5">
        <f>_xlfn.DAYS(Table2[[#This Row],[Date Ended Conversion]],Table2[[#This Row],[Date Created Conversion]])+1</f>
        <v>35</v>
      </c>
      <c r="Q432" t="b">
        <v>0</v>
      </c>
      <c r="R432" t="b">
        <v>0</v>
      </c>
      <c r="S432" t="s">
        <v>33</v>
      </c>
      <c r="T432" t="str">
        <f>_xlfn.TEXTBEFORE(Table2[[#This Row],[category &amp; sub-category]],"/")</f>
        <v>theater</v>
      </c>
      <c r="U432" t="str">
        <f>_xlfn.TEXTAFTER(Table2[[#This Row],[category &amp; sub-category]],"/")</f>
        <v>plays</v>
      </c>
    </row>
    <row r="433" spans="1:21" ht="17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5">
        <f>100*Table2[[#This Row],[pledged]]/Table2[[#This Row],[goal]]</f>
        <v>192.49019607843138</v>
      </c>
      <c r="G433" t="s">
        <v>20</v>
      </c>
      <c r="H433">
        <v>94</v>
      </c>
      <c r="I433" s="4">
        <f>IF(Table2[[#This Row],[pledged]]&gt;0,Table2[[#This Row],[pledged]]/Table2[[#This Row],[backers_count]],0)</f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8">
        <f t="shared" si="12"/>
        <v>43273.208333333328</v>
      </c>
      <c r="O433" s="8">
        <f t="shared" si="13"/>
        <v>43290.208333333328</v>
      </c>
      <c r="P433" s="5">
        <f>_xlfn.DAYS(Table2[[#This Row],[Date Ended Conversion]],Table2[[#This Row],[Date Created Conversion]])+1</f>
        <v>18</v>
      </c>
      <c r="Q433" t="b">
        <v>1</v>
      </c>
      <c r="R433" t="b">
        <v>0</v>
      </c>
      <c r="S433" t="s">
        <v>33</v>
      </c>
      <c r="T433" t="str">
        <f>_xlfn.TEXTBEFORE(Table2[[#This Row],[category &amp; sub-category]],"/")</f>
        <v>theater</v>
      </c>
      <c r="U433" t="str">
        <f>_xlfn.TEXTAFTER(Table2[[#This Row],[category &amp; sub-category]],"/")</f>
        <v>plays</v>
      </c>
    </row>
    <row r="434" spans="1:21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5">
        <f>100*Table2[[#This Row],[pledged]]/Table2[[#This Row],[goal]]</f>
        <v>82.714285714285708</v>
      </c>
      <c r="G434" t="s">
        <v>14</v>
      </c>
      <c r="H434">
        <v>91</v>
      </c>
      <c r="I434" s="4">
        <f>IF(Table2[[#This Row],[pledged]]&gt;0,Table2[[#This Row],[pledged]]/Table2[[#This Row],[backers_count]],0)</f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8">
        <f t="shared" si="12"/>
        <v>41761.208333333336</v>
      </c>
      <c r="O434" s="8">
        <f t="shared" si="13"/>
        <v>41781.208333333336</v>
      </c>
      <c r="P434" s="5">
        <f>_xlfn.DAYS(Table2[[#This Row],[Date Ended Conversion]],Table2[[#This Row],[Date Created Conversion]])+1</f>
        <v>21</v>
      </c>
      <c r="Q434" t="b">
        <v>0</v>
      </c>
      <c r="R434" t="b">
        <v>0</v>
      </c>
      <c r="S434" t="s">
        <v>33</v>
      </c>
      <c r="T434" t="str">
        <f>_xlfn.TEXTBEFORE(Table2[[#This Row],[category &amp; sub-category]],"/")</f>
        <v>theater</v>
      </c>
      <c r="U434" t="str">
        <f>_xlfn.TEXTAFTER(Table2[[#This Row],[category &amp; sub-category]],"/")</f>
        <v>plays</v>
      </c>
    </row>
    <row r="435" spans="1:21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5">
        <f>100*Table2[[#This Row],[pledged]]/Table2[[#This Row],[goal]]</f>
        <v>54.163920922570014</v>
      </c>
      <c r="G435" t="s">
        <v>14</v>
      </c>
      <c r="H435">
        <v>792</v>
      </c>
      <c r="I435" s="4">
        <f>IF(Table2[[#This Row],[pledged]]&gt;0,Table2[[#This Row],[pledged]]/Table2[[#This Row],[backers_count]],0)</f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8">
        <f t="shared" si="12"/>
        <v>41603.25</v>
      </c>
      <c r="O435" s="8">
        <f t="shared" si="13"/>
        <v>41619.25</v>
      </c>
      <c r="P435" s="5">
        <f>_xlfn.DAYS(Table2[[#This Row],[Date Ended Conversion]],Table2[[#This Row],[Date Created Conversion]])+1</f>
        <v>17</v>
      </c>
      <c r="Q435" t="b">
        <v>0</v>
      </c>
      <c r="R435" t="b">
        <v>1</v>
      </c>
      <c r="S435" t="s">
        <v>42</v>
      </c>
      <c r="T435" t="str">
        <f>_xlfn.TEXTBEFORE(Table2[[#This Row],[category &amp; sub-category]],"/")</f>
        <v>film &amp; video</v>
      </c>
      <c r="U435" t="str">
        <f>_xlfn.TEXTAFTER(Table2[[#This Row],[category &amp; sub-category]],"/")</f>
        <v>documentary</v>
      </c>
    </row>
    <row r="436" spans="1:21" ht="17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5">
        <f>100*Table2[[#This Row],[pledged]]/Table2[[#This Row],[goal]]</f>
        <v>16.722222222222221</v>
      </c>
      <c r="G436" t="s">
        <v>74</v>
      </c>
      <c r="H436">
        <v>10</v>
      </c>
      <c r="I436" s="4">
        <f>IF(Table2[[#This Row],[pledged]]&gt;0,Table2[[#This Row],[pledged]]/Table2[[#This Row],[backers_count]],0)</f>
        <v>90.3</v>
      </c>
      <c r="J436" t="s">
        <v>15</v>
      </c>
      <c r="K436" t="s">
        <v>16</v>
      </c>
      <c r="L436">
        <v>1480572000</v>
      </c>
      <c r="M436">
        <v>1481781600</v>
      </c>
      <c r="N436" s="8">
        <f t="shared" si="12"/>
        <v>42705.25</v>
      </c>
      <c r="O436" s="8">
        <f t="shared" si="13"/>
        <v>42719.25</v>
      </c>
      <c r="P436" s="5">
        <f>_xlfn.DAYS(Table2[[#This Row],[Date Ended Conversion]],Table2[[#This Row],[Date Created Conversion]])+1</f>
        <v>15</v>
      </c>
      <c r="Q436" t="b">
        <v>1</v>
      </c>
      <c r="R436" t="b">
        <v>0</v>
      </c>
      <c r="S436" t="s">
        <v>33</v>
      </c>
      <c r="T436" t="str">
        <f>_xlfn.TEXTBEFORE(Table2[[#This Row],[category &amp; sub-category]],"/")</f>
        <v>theater</v>
      </c>
      <c r="U436" t="str">
        <f>_xlfn.TEXTAFTER(Table2[[#This Row],[category &amp; sub-category]],"/")</f>
        <v>plays</v>
      </c>
    </row>
    <row r="437" spans="1:21" ht="17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5">
        <f>100*Table2[[#This Row],[pledged]]/Table2[[#This Row],[goal]]</f>
        <v>116.87664041994751</v>
      </c>
      <c r="G437" t="s">
        <v>20</v>
      </c>
      <c r="H437">
        <v>1713</v>
      </c>
      <c r="I437" s="4">
        <f>IF(Table2[[#This Row],[pledged]]&gt;0,Table2[[#This Row],[pledged]]/Table2[[#This Row],[backers_count]],0)</f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8">
        <f t="shared" si="12"/>
        <v>41988.25</v>
      </c>
      <c r="O437" s="8">
        <f t="shared" si="13"/>
        <v>42000.25</v>
      </c>
      <c r="P437" s="5">
        <f>_xlfn.DAYS(Table2[[#This Row],[Date Ended Conversion]],Table2[[#This Row],[Date Created Conversion]])+1</f>
        <v>13</v>
      </c>
      <c r="Q437" t="b">
        <v>0</v>
      </c>
      <c r="R437" t="b">
        <v>1</v>
      </c>
      <c r="S437" t="s">
        <v>33</v>
      </c>
      <c r="T437" t="str">
        <f>_xlfn.TEXTBEFORE(Table2[[#This Row],[category &amp; sub-category]],"/")</f>
        <v>theater</v>
      </c>
      <c r="U437" t="str">
        <f>_xlfn.TEXTAFTER(Table2[[#This Row],[category &amp; sub-category]],"/")</f>
        <v>plays</v>
      </c>
    </row>
    <row r="438" spans="1:21" ht="17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5">
        <f>100*Table2[[#This Row],[pledged]]/Table2[[#This Row],[goal]]</f>
        <v>1052.1538461538462</v>
      </c>
      <c r="G438" t="s">
        <v>20</v>
      </c>
      <c r="H438">
        <v>249</v>
      </c>
      <c r="I438" s="4">
        <f>IF(Table2[[#This Row],[pledged]]&gt;0,Table2[[#This Row],[pledged]]/Table2[[#This Row],[backers_count]],0)</f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8">
        <f t="shared" si="12"/>
        <v>43575.208333333328</v>
      </c>
      <c r="O438" s="8">
        <f t="shared" si="13"/>
        <v>43576.208333333328</v>
      </c>
      <c r="P438" s="5">
        <f>_xlfn.DAYS(Table2[[#This Row],[Date Ended Conversion]],Table2[[#This Row],[Date Created Conversion]])+1</f>
        <v>2</v>
      </c>
      <c r="Q438" t="b">
        <v>0</v>
      </c>
      <c r="R438" t="b">
        <v>0</v>
      </c>
      <c r="S438" t="s">
        <v>159</v>
      </c>
      <c r="T438" t="str">
        <f>_xlfn.TEXTBEFORE(Table2[[#This Row],[category &amp; sub-category]],"/")</f>
        <v>music</v>
      </c>
      <c r="U438" t="str">
        <f>_xlfn.TEXTAFTER(Table2[[#This Row],[category &amp; sub-category]],"/")</f>
        <v>jazz</v>
      </c>
    </row>
    <row r="439" spans="1:21" ht="17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5">
        <f>100*Table2[[#This Row],[pledged]]/Table2[[#This Row],[goal]]</f>
        <v>123.07407407407408</v>
      </c>
      <c r="G439" t="s">
        <v>20</v>
      </c>
      <c r="H439">
        <v>192</v>
      </c>
      <c r="I439" s="4">
        <f>IF(Table2[[#This Row],[pledged]]&gt;0,Table2[[#This Row],[pledged]]/Table2[[#This Row],[backers_count]],0)</f>
        <v>51.921875</v>
      </c>
      <c r="J439" t="s">
        <v>21</v>
      </c>
      <c r="K439" t="s">
        <v>22</v>
      </c>
      <c r="L439">
        <v>1442120400</v>
      </c>
      <c r="M439">
        <v>1442379600</v>
      </c>
      <c r="N439" s="8">
        <f t="shared" si="12"/>
        <v>42260.208333333328</v>
      </c>
      <c r="O439" s="8">
        <f t="shared" si="13"/>
        <v>42263.208333333328</v>
      </c>
      <c r="P439" s="5">
        <f>_xlfn.DAYS(Table2[[#This Row],[Date Ended Conversion]],Table2[[#This Row],[Date Created Conversion]])+1</f>
        <v>4</v>
      </c>
      <c r="Q439" t="b">
        <v>0</v>
      </c>
      <c r="R439" t="b">
        <v>1</v>
      </c>
      <c r="S439" t="s">
        <v>71</v>
      </c>
      <c r="T439" t="str">
        <f>_xlfn.TEXTBEFORE(Table2[[#This Row],[category &amp; sub-category]],"/")</f>
        <v>film &amp; video</v>
      </c>
      <c r="U439" t="str">
        <f>_xlfn.TEXTAFTER(Table2[[#This Row],[category &amp; sub-category]],"/")</f>
        <v>animation</v>
      </c>
    </row>
    <row r="440" spans="1:21" ht="34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5">
        <f>100*Table2[[#This Row],[pledged]]/Table2[[#This Row],[goal]]</f>
        <v>178.63855421686748</v>
      </c>
      <c r="G440" t="s">
        <v>20</v>
      </c>
      <c r="H440">
        <v>247</v>
      </c>
      <c r="I440" s="4">
        <f>IF(Table2[[#This Row],[pledged]]&gt;0,Table2[[#This Row],[pledged]]/Table2[[#This Row],[backers_count]],0)</f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8">
        <f t="shared" si="12"/>
        <v>41337.25</v>
      </c>
      <c r="O440" s="8">
        <f t="shared" si="13"/>
        <v>41367.208333333336</v>
      </c>
      <c r="P440" s="5">
        <f>_xlfn.DAYS(Table2[[#This Row],[Date Ended Conversion]],Table2[[#This Row],[Date Created Conversion]])+1</f>
        <v>31</v>
      </c>
      <c r="Q440" t="b">
        <v>0</v>
      </c>
      <c r="R440" t="b">
        <v>0</v>
      </c>
      <c r="S440" t="s">
        <v>33</v>
      </c>
      <c r="T440" t="str">
        <f>_xlfn.TEXTBEFORE(Table2[[#This Row],[category &amp; sub-category]],"/")</f>
        <v>theater</v>
      </c>
      <c r="U440" t="str">
        <f>_xlfn.TEXTAFTER(Table2[[#This Row],[category &amp; sub-category]],"/")</f>
        <v>plays</v>
      </c>
    </row>
    <row r="441" spans="1:21" ht="17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5">
        <f>100*Table2[[#This Row],[pledged]]/Table2[[#This Row],[goal]]</f>
        <v>355.28169014084506</v>
      </c>
      <c r="G441" t="s">
        <v>20</v>
      </c>
      <c r="H441">
        <v>2293</v>
      </c>
      <c r="I441" s="4">
        <f>IF(Table2[[#This Row],[pledged]]&gt;0,Table2[[#This Row],[pledged]]/Table2[[#This Row],[backers_count]],0)</f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8">
        <f t="shared" si="12"/>
        <v>42680.208333333328</v>
      </c>
      <c r="O441" s="8">
        <f t="shared" si="13"/>
        <v>42687.25</v>
      </c>
      <c r="P441" s="5">
        <f>_xlfn.DAYS(Table2[[#This Row],[Date Ended Conversion]],Table2[[#This Row],[Date Created Conversion]])+1</f>
        <v>8</v>
      </c>
      <c r="Q441" t="b">
        <v>0</v>
      </c>
      <c r="R441" t="b">
        <v>0</v>
      </c>
      <c r="S441" t="s">
        <v>474</v>
      </c>
      <c r="T441" t="str">
        <f>_xlfn.TEXTBEFORE(Table2[[#This Row],[category &amp; sub-category]],"/")</f>
        <v>film &amp; video</v>
      </c>
      <c r="U441" t="str">
        <f>_xlfn.TEXTAFTER(Table2[[#This Row],[category &amp; sub-category]],"/")</f>
        <v>science fiction</v>
      </c>
    </row>
    <row r="442" spans="1:21" ht="17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5">
        <f>100*Table2[[#This Row],[pledged]]/Table2[[#This Row],[goal]]</f>
        <v>161.90634146341463</v>
      </c>
      <c r="G442" t="s">
        <v>20</v>
      </c>
      <c r="H442">
        <v>3131</v>
      </c>
      <c r="I442" s="4">
        <f>IF(Table2[[#This Row],[pledged]]&gt;0,Table2[[#This Row],[pledged]]/Table2[[#This Row],[backers_count]],0)</f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8">
        <f t="shared" si="12"/>
        <v>42916.208333333328</v>
      </c>
      <c r="O442" s="8">
        <f t="shared" si="13"/>
        <v>42926.208333333328</v>
      </c>
      <c r="P442" s="5">
        <f>_xlfn.DAYS(Table2[[#This Row],[Date Ended Conversion]],Table2[[#This Row],[Date Created Conversion]])+1</f>
        <v>11</v>
      </c>
      <c r="Q442" t="b">
        <v>0</v>
      </c>
      <c r="R442" t="b">
        <v>0</v>
      </c>
      <c r="S442" t="s">
        <v>269</v>
      </c>
      <c r="T442" t="str">
        <f>_xlfn.TEXTBEFORE(Table2[[#This Row],[category &amp; sub-category]],"/")</f>
        <v>film &amp; video</v>
      </c>
      <c r="U442" t="str">
        <f>_xlfn.TEXTAFTER(Table2[[#This Row],[category &amp; sub-category]],"/")</f>
        <v>television</v>
      </c>
    </row>
    <row r="443" spans="1:21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5">
        <f>100*Table2[[#This Row],[pledged]]/Table2[[#This Row],[goal]]</f>
        <v>24.914285714285715</v>
      </c>
      <c r="G443" t="s">
        <v>14</v>
      </c>
      <c r="H443">
        <v>32</v>
      </c>
      <c r="I443" s="4">
        <f>IF(Table2[[#This Row],[pledged]]&gt;0,Table2[[#This Row],[pledged]]/Table2[[#This Row],[backers_count]],0)</f>
        <v>54.5</v>
      </c>
      <c r="J443" t="s">
        <v>21</v>
      </c>
      <c r="K443" t="s">
        <v>22</v>
      </c>
      <c r="L443">
        <v>1335416400</v>
      </c>
      <c r="M443">
        <v>1337835600</v>
      </c>
      <c r="N443" s="8">
        <f t="shared" si="12"/>
        <v>41025.208333333336</v>
      </c>
      <c r="O443" s="8">
        <f t="shared" si="13"/>
        <v>41053.208333333336</v>
      </c>
      <c r="P443" s="5">
        <f>_xlfn.DAYS(Table2[[#This Row],[Date Ended Conversion]],Table2[[#This Row],[Date Created Conversion]])+1</f>
        <v>29</v>
      </c>
      <c r="Q443" t="b">
        <v>0</v>
      </c>
      <c r="R443" t="b">
        <v>0</v>
      </c>
      <c r="S443" t="s">
        <v>65</v>
      </c>
      <c r="T443" t="str">
        <f>_xlfn.TEXTBEFORE(Table2[[#This Row],[category &amp; sub-category]],"/")</f>
        <v>technology</v>
      </c>
      <c r="U443" t="str">
        <f>_xlfn.TEXTAFTER(Table2[[#This Row],[category &amp; sub-category]],"/")</f>
        <v>wearables</v>
      </c>
    </row>
    <row r="444" spans="1:21" ht="17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5">
        <f>100*Table2[[#This Row],[pledged]]/Table2[[#This Row],[goal]]</f>
        <v>198.72222222222223</v>
      </c>
      <c r="G444" t="s">
        <v>20</v>
      </c>
      <c r="H444">
        <v>143</v>
      </c>
      <c r="I444" s="4">
        <f>IF(Table2[[#This Row],[pledged]]&gt;0,Table2[[#This Row],[pledged]]/Table2[[#This Row],[backers_count]],0)</f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8">
        <f t="shared" si="12"/>
        <v>42980.208333333328</v>
      </c>
      <c r="O444" s="8">
        <f t="shared" si="13"/>
        <v>42996.208333333328</v>
      </c>
      <c r="P444" s="5">
        <f>_xlfn.DAYS(Table2[[#This Row],[Date Ended Conversion]],Table2[[#This Row],[Date Created Conversion]])+1</f>
        <v>17</v>
      </c>
      <c r="Q444" t="b">
        <v>0</v>
      </c>
      <c r="R444" t="b">
        <v>0</v>
      </c>
      <c r="S444" t="s">
        <v>33</v>
      </c>
      <c r="T444" t="str">
        <f>_xlfn.TEXTBEFORE(Table2[[#This Row],[category &amp; sub-category]],"/")</f>
        <v>theater</v>
      </c>
      <c r="U444" t="str">
        <f>_xlfn.TEXTAFTER(Table2[[#This Row],[category &amp; sub-category]],"/")</f>
        <v>plays</v>
      </c>
    </row>
    <row r="445" spans="1:21" ht="17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5">
        <f>100*Table2[[#This Row],[pledged]]/Table2[[#This Row],[goal]]</f>
        <v>34.752688172043008</v>
      </c>
      <c r="G445" t="s">
        <v>74</v>
      </c>
      <c r="H445">
        <v>90</v>
      </c>
      <c r="I445" s="4">
        <f>IF(Table2[[#This Row],[pledged]]&gt;0,Table2[[#This Row],[pledged]]/Table2[[#This Row],[backers_count]],0)</f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8">
        <f t="shared" si="12"/>
        <v>40451.208333333336</v>
      </c>
      <c r="O445" s="8">
        <f t="shared" si="13"/>
        <v>40470.208333333336</v>
      </c>
      <c r="P445" s="5">
        <f>_xlfn.DAYS(Table2[[#This Row],[Date Ended Conversion]],Table2[[#This Row],[Date Created Conversion]])+1</f>
        <v>20</v>
      </c>
      <c r="Q445" t="b">
        <v>0</v>
      </c>
      <c r="R445" t="b">
        <v>0</v>
      </c>
      <c r="S445" t="s">
        <v>33</v>
      </c>
      <c r="T445" t="str">
        <f>_xlfn.TEXTBEFORE(Table2[[#This Row],[category &amp; sub-category]],"/")</f>
        <v>theater</v>
      </c>
      <c r="U445" t="str">
        <f>_xlfn.TEXTAFTER(Table2[[#This Row],[category &amp; sub-category]],"/")</f>
        <v>plays</v>
      </c>
    </row>
    <row r="446" spans="1:21" ht="17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5">
        <f>100*Table2[[#This Row],[pledged]]/Table2[[#This Row],[goal]]</f>
        <v>176.41935483870967</v>
      </c>
      <c r="G446" t="s">
        <v>20</v>
      </c>
      <c r="H446">
        <v>296</v>
      </c>
      <c r="I446" s="4">
        <f>IF(Table2[[#This Row],[pledged]]&gt;0,Table2[[#This Row],[pledged]]/Table2[[#This Row],[backers_count]],0)</f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8">
        <f t="shared" si="12"/>
        <v>40748.208333333336</v>
      </c>
      <c r="O446" s="8">
        <f t="shared" si="13"/>
        <v>40750.208333333336</v>
      </c>
      <c r="P446" s="5">
        <f>_xlfn.DAYS(Table2[[#This Row],[Date Ended Conversion]],Table2[[#This Row],[Date Created Conversion]])+1</f>
        <v>3</v>
      </c>
      <c r="Q446" t="b">
        <v>0</v>
      </c>
      <c r="R446" t="b">
        <v>1</v>
      </c>
      <c r="S446" t="s">
        <v>60</v>
      </c>
      <c r="T446" t="str">
        <f>_xlfn.TEXTBEFORE(Table2[[#This Row],[category &amp; sub-category]],"/")</f>
        <v>music</v>
      </c>
      <c r="U446" t="str">
        <f>_xlfn.TEXTAFTER(Table2[[#This Row],[category &amp; sub-category]],"/")</f>
        <v>indie rock</v>
      </c>
    </row>
    <row r="447" spans="1:21" ht="34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5">
        <f>100*Table2[[#This Row],[pledged]]/Table2[[#This Row],[goal]]</f>
        <v>511.38095238095241</v>
      </c>
      <c r="G447" t="s">
        <v>20</v>
      </c>
      <c r="H447">
        <v>170</v>
      </c>
      <c r="I447" s="4">
        <f>IF(Table2[[#This Row],[pledged]]&gt;0,Table2[[#This Row],[pledged]]/Table2[[#This Row],[backers_count]],0)</f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8">
        <f t="shared" si="12"/>
        <v>40515.25</v>
      </c>
      <c r="O447" s="8">
        <f t="shared" si="13"/>
        <v>40536.25</v>
      </c>
      <c r="P447" s="5">
        <f>_xlfn.DAYS(Table2[[#This Row],[Date Ended Conversion]],Table2[[#This Row],[Date Created Conversion]])+1</f>
        <v>22</v>
      </c>
      <c r="Q447" t="b">
        <v>0</v>
      </c>
      <c r="R447" t="b">
        <v>1</v>
      </c>
      <c r="S447" t="s">
        <v>33</v>
      </c>
      <c r="T447" t="str">
        <f>_xlfn.TEXTBEFORE(Table2[[#This Row],[category &amp; sub-category]],"/")</f>
        <v>theater</v>
      </c>
      <c r="U447" t="str">
        <f>_xlfn.TEXTAFTER(Table2[[#This Row],[category &amp; sub-category]],"/")</f>
        <v>plays</v>
      </c>
    </row>
    <row r="448" spans="1:21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5">
        <f>100*Table2[[#This Row],[pledged]]/Table2[[#This Row],[goal]]</f>
        <v>82.044117647058826</v>
      </c>
      <c r="G448" t="s">
        <v>14</v>
      </c>
      <c r="H448">
        <v>186</v>
      </c>
      <c r="I448" s="4">
        <f>IF(Table2[[#This Row],[pledged]]&gt;0,Table2[[#This Row],[pledged]]/Table2[[#This Row],[backers_count]],0)</f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8">
        <f t="shared" si="12"/>
        <v>41261.25</v>
      </c>
      <c r="O448" s="8">
        <f t="shared" si="13"/>
        <v>41263.25</v>
      </c>
      <c r="P448" s="5">
        <f>_xlfn.DAYS(Table2[[#This Row],[Date Ended Conversion]],Table2[[#This Row],[Date Created Conversion]])+1</f>
        <v>3</v>
      </c>
      <c r="Q448" t="b">
        <v>0</v>
      </c>
      <c r="R448" t="b">
        <v>0</v>
      </c>
      <c r="S448" t="s">
        <v>65</v>
      </c>
      <c r="T448" t="str">
        <f>_xlfn.TEXTBEFORE(Table2[[#This Row],[category &amp; sub-category]],"/")</f>
        <v>technology</v>
      </c>
      <c r="U448" t="str">
        <f>_xlfn.TEXTAFTER(Table2[[#This Row],[category &amp; sub-category]],"/")</f>
        <v>wearables</v>
      </c>
    </row>
    <row r="449" spans="1:21" ht="34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5">
        <f>100*Table2[[#This Row],[pledged]]/Table2[[#This Row],[goal]]</f>
        <v>24.326030927835053</v>
      </c>
      <c r="G449" t="s">
        <v>74</v>
      </c>
      <c r="H449">
        <v>439</v>
      </c>
      <c r="I449" s="4">
        <f>IF(Table2[[#This Row],[pledged]]&gt;0,Table2[[#This Row],[pledged]]/Table2[[#This Row],[backers_count]],0)</f>
        <v>86</v>
      </c>
      <c r="J449" t="s">
        <v>40</v>
      </c>
      <c r="K449" t="s">
        <v>41</v>
      </c>
      <c r="L449">
        <v>1513663200</v>
      </c>
      <c r="M449">
        <v>1515045600</v>
      </c>
      <c r="N449" s="8">
        <f t="shared" si="12"/>
        <v>43088.25</v>
      </c>
      <c r="O449" s="8">
        <f t="shared" si="13"/>
        <v>43104.25</v>
      </c>
      <c r="P449" s="5">
        <f>_xlfn.DAYS(Table2[[#This Row],[Date Ended Conversion]],Table2[[#This Row],[Date Created Conversion]])+1</f>
        <v>17</v>
      </c>
      <c r="Q449" t="b">
        <v>0</v>
      </c>
      <c r="R449" t="b">
        <v>0</v>
      </c>
      <c r="S449" t="s">
        <v>269</v>
      </c>
      <c r="T449" t="str">
        <f>_xlfn.TEXTBEFORE(Table2[[#This Row],[category &amp; sub-category]],"/")</f>
        <v>film &amp; video</v>
      </c>
      <c r="U449" t="str">
        <f>_xlfn.TEXTAFTER(Table2[[#This Row],[category &amp; sub-category]],"/")</f>
        <v>television</v>
      </c>
    </row>
    <row r="450" spans="1:21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5">
        <f>100*Table2[[#This Row],[pledged]]/Table2[[#This Row],[goal]]</f>
        <v>50.482758620689658</v>
      </c>
      <c r="G450" t="s">
        <v>14</v>
      </c>
      <c r="H450">
        <v>605</v>
      </c>
      <c r="I450" s="4">
        <f>IF(Table2[[#This Row],[pledged]]&gt;0,Table2[[#This Row],[pledged]]/Table2[[#This Row],[backers_count]],0)</f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8">
        <f t="shared" ref="N450:N513" si="14">(((L450/60)/60)/24)+DATE(1970,1,1)</f>
        <v>41378.208333333336</v>
      </c>
      <c r="O450" s="8">
        <f t="shared" ref="O450:O513" si="15">(((M450/60)/60)/24)+DATE(1970,1,1)</f>
        <v>41380.208333333336</v>
      </c>
      <c r="P450" s="5">
        <f>_xlfn.DAYS(Table2[[#This Row],[Date Ended Conversion]],Table2[[#This Row],[Date Created Conversion]])+1</f>
        <v>3</v>
      </c>
      <c r="Q450" t="b">
        <v>0</v>
      </c>
      <c r="R450" t="b">
        <v>1</v>
      </c>
      <c r="S450" t="s">
        <v>89</v>
      </c>
      <c r="T450" t="str">
        <f>_xlfn.TEXTBEFORE(Table2[[#This Row],[category &amp; sub-category]],"/")</f>
        <v>games</v>
      </c>
      <c r="U450" t="str">
        <f>_xlfn.TEXTAFTER(Table2[[#This Row],[category &amp; sub-category]],"/")</f>
        <v>video games</v>
      </c>
    </row>
    <row r="451" spans="1:21" ht="17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5">
        <f>100*Table2[[#This Row],[pledged]]/Table2[[#This Row],[goal]]</f>
        <v>967</v>
      </c>
      <c r="G451" t="s">
        <v>20</v>
      </c>
      <c r="H451">
        <v>86</v>
      </c>
      <c r="I451" s="4">
        <f>IF(Table2[[#This Row],[pledged]]&gt;0,Table2[[#This Row],[pledged]]/Table2[[#This Row],[backers_count]],0)</f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8">
        <f t="shared" si="14"/>
        <v>43530.25</v>
      </c>
      <c r="O451" s="8">
        <f t="shared" si="15"/>
        <v>43547.208333333328</v>
      </c>
      <c r="P451" s="5">
        <f>_xlfn.DAYS(Table2[[#This Row],[Date Ended Conversion]],Table2[[#This Row],[Date Created Conversion]])+1</f>
        <v>18</v>
      </c>
      <c r="Q451" t="b">
        <v>0</v>
      </c>
      <c r="R451" t="b">
        <v>0</v>
      </c>
      <c r="S451" t="s">
        <v>89</v>
      </c>
      <c r="T451" t="str">
        <f>_xlfn.TEXTBEFORE(Table2[[#This Row],[category &amp; sub-category]],"/")</f>
        <v>games</v>
      </c>
      <c r="U451" t="str">
        <f>_xlfn.TEXTAFTER(Table2[[#This Row],[category &amp; sub-category]],"/")</f>
        <v>video games</v>
      </c>
    </row>
    <row r="452" spans="1:21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5">
        <f>100*Table2[[#This Row],[pledged]]/Table2[[#This Row],[goal]]</f>
        <v>4</v>
      </c>
      <c r="G452" t="s">
        <v>14</v>
      </c>
      <c r="H452">
        <v>1</v>
      </c>
      <c r="I452" s="4">
        <f>IF(Table2[[#This Row],[pledged]]&gt;0,Table2[[#This Row],[pledged]]/Table2[[#This Row],[backers_count]],0)</f>
        <v>4</v>
      </c>
      <c r="J452" t="s">
        <v>15</v>
      </c>
      <c r="K452" t="s">
        <v>16</v>
      </c>
      <c r="L452">
        <v>1540098000</v>
      </c>
      <c r="M452">
        <v>1542088800</v>
      </c>
      <c r="N452" s="8">
        <f t="shared" si="14"/>
        <v>43394.208333333328</v>
      </c>
      <c r="O452" s="8">
        <f t="shared" si="15"/>
        <v>43417.25</v>
      </c>
      <c r="P452" s="5">
        <f>_xlfn.DAYS(Table2[[#This Row],[Date Ended Conversion]],Table2[[#This Row],[Date Created Conversion]])+1</f>
        <v>24</v>
      </c>
      <c r="Q452" t="b">
        <v>0</v>
      </c>
      <c r="R452" t="b">
        <v>0</v>
      </c>
      <c r="S452" t="s">
        <v>71</v>
      </c>
      <c r="T452" t="str">
        <f>_xlfn.TEXTBEFORE(Table2[[#This Row],[category &amp; sub-category]],"/")</f>
        <v>film &amp; video</v>
      </c>
      <c r="U452" t="str">
        <f>_xlfn.TEXTAFTER(Table2[[#This Row],[category &amp; sub-category]],"/")</f>
        <v>animation</v>
      </c>
    </row>
    <row r="453" spans="1:21" ht="17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5">
        <f>100*Table2[[#This Row],[pledged]]/Table2[[#This Row],[goal]]</f>
        <v>122.84501347708895</v>
      </c>
      <c r="G453" t="s">
        <v>20</v>
      </c>
      <c r="H453">
        <v>6286</v>
      </c>
      <c r="I453" s="4">
        <f>IF(Table2[[#This Row],[pledged]]&gt;0,Table2[[#This Row],[pledged]]/Table2[[#This Row],[backers_count]],0)</f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8">
        <f t="shared" si="14"/>
        <v>42935.208333333328</v>
      </c>
      <c r="O453" s="8">
        <f t="shared" si="15"/>
        <v>42966.208333333328</v>
      </c>
      <c r="P453" s="5">
        <f>_xlfn.DAYS(Table2[[#This Row],[Date Ended Conversion]],Table2[[#This Row],[Date Created Conversion]])+1</f>
        <v>32</v>
      </c>
      <c r="Q453" t="b">
        <v>0</v>
      </c>
      <c r="R453" t="b">
        <v>0</v>
      </c>
      <c r="S453" t="s">
        <v>23</v>
      </c>
      <c r="T453" t="str">
        <f>_xlfn.TEXTBEFORE(Table2[[#This Row],[category &amp; sub-category]],"/")</f>
        <v>music</v>
      </c>
      <c r="U453" t="str">
        <f>_xlfn.TEXTAFTER(Table2[[#This Row],[category &amp; sub-category]],"/")</f>
        <v>rock</v>
      </c>
    </row>
    <row r="454" spans="1:21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5">
        <f>100*Table2[[#This Row],[pledged]]/Table2[[#This Row],[goal]]</f>
        <v>63.4375</v>
      </c>
      <c r="G454" t="s">
        <v>14</v>
      </c>
      <c r="H454">
        <v>31</v>
      </c>
      <c r="I454" s="4">
        <f>IF(Table2[[#This Row],[pledged]]&gt;0,Table2[[#This Row],[pledged]]/Table2[[#This Row],[backers_count]],0)</f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8">
        <f t="shared" si="14"/>
        <v>40365.208333333336</v>
      </c>
      <c r="O454" s="8">
        <f t="shared" si="15"/>
        <v>40366.208333333336</v>
      </c>
      <c r="P454" s="5">
        <f>_xlfn.DAYS(Table2[[#This Row],[Date Ended Conversion]],Table2[[#This Row],[Date Created Conversion]])+1</f>
        <v>2</v>
      </c>
      <c r="Q454" t="b">
        <v>0</v>
      </c>
      <c r="R454" t="b">
        <v>0</v>
      </c>
      <c r="S454" t="s">
        <v>53</v>
      </c>
      <c r="T454" t="str">
        <f>_xlfn.TEXTBEFORE(Table2[[#This Row],[category &amp; sub-category]],"/")</f>
        <v>film &amp; video</v>
      </c>
      <c r="U454" t="str">
        <f>_xlfn.TEXTAFTER(Table2[[#This Row],[category &amp; sub-category]],"/")</f>
        <v>drama</v>
      </c>
    </row>
    <row r="455" spans="1:21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5">
        <f>100*Table2[[#This Row],[pledged]]/Table2[[#This Row],[goal]]</f>
        <v>56.331688596491226</v>
      </c>
      <c r="G455" t="s">
        <v>14</v>
      </c>
      <c r="H455">
        <v>1181</v>
      </c>
      <c r="I455" s="4">
        <f>IF(Table2[[#This Row],[pledged]]&gt;0,Table2[[#This Row],[pledged]]/Table2[[#This Row],[backers_count]],0)</f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8">
        <f t="shared" si="14"/>
        <v>42705.25</v>
      </c>
      <c r="O455" s="8">
        <f t="shared" si="15"/>
        <v>42746.25</v>
      </c>
      <c r="P455" s="5">
        <f>_xlfn.DAYS(Table2[[#This Row],[Date Ended Conversion]],Table2[[#This Row],[Date Created Conversion]])+1</f>
        <v>42</v>
      </c>
      <c r="Q455" t="b">
        <v>0</v>
      </c>
      <c r="R455" t="b">
        <v>0</v>
      </c>
      <c r="S455" t="s">
        <v>474</v>
      </c>
      <c r="T455" t="str">
        <f>_xlfn.TEXTBEFORE(Table2[[#This Row],[category &amp; sub-category]],"/")</f>
        <v>film &amp; video</v>
      </c>
      <c r="U455" t="str">
        <f>_xlfn.TEXTAFTER(Table2[[#This Row],[category &amp; sub-category]],"/")</f>
        <v>science fiction</v>
      </c>
    </row>
    <row r="456" spans="1:21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5">
        <f>100*Table2[[#This Row],[pledged]]/Table2[[#This Row],[goal]]</f>
        <v>44.075000000000003</v>
      </c>
      <c r="G456" t="s">
        <v>14</v>
      </c>
      <c r="H456">
        <v>39</v>
      </c>
      <c r="I456" s="4">
        <f>IF(Table2[[#This Row],[pledged]]&gt;0,Table2[[#This Row],[pledged]]/Table2[[#This Row],[backers_count]],0)</f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8">
        <f t="shared" si="14"/>
        <v>41568.208333333336</v>
      </c>
      <c r="O456" s="8">
        <f t="shared" si="15"/>
        <v>41604.25</v>
      </c>
      <c r="P456" s="5">
        <f>_xlfn.DAYS(Table2[[#This Row],[Date Ended Conversion]],Table2[[#This Row],[Date Created Conversion]])+1</f>
        <v>37</v>
      </c>
      <c r="Q456" t="b">
        <v>0</v>
      </c>
      <c r="R456" t="b">
        <v>1</v>
      </c>
      <c r="S456" t="s">
        <v>53</v>
      </c>
      <c r="T456" t="str">
        <f>_xlfn.TEXTBEFORE(Table2[[#This Row],[category &amp; sub-category]],"/")</f>
        <v>film &amp; video</v>
      </c>
      <c r="U456" t="str">
        <f>_xlfn.TEXTAFTER(Table2[[#This Row],[category &amp; sub-category]],"/")</f>
        <v>drama</v>
      </c>
    </row>
    <row r="457" spans="1:21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5">
        <f>100*Table2[[#This Row],[pledged]]/Table2[[#This Row],[goal]]</f>
        <v>118.37253218884121</v>
      </c>
      <c r="G457" t="s">
        <v>20</v>
      </c>
      <c r="H457">
        <v>3727</v>
      </c>
      <c r="I457" s="4">
        <f>IF(Table2[[#This Row],[pledged]]&gt;0,Table2[[#This Row],[pledged]]/Table2[[#This Row],[backers_count]],0)</f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8">
        <f t="shared" si="14"/>
        <v>40809.208333333336</v>
      </c>
      <c r="O457" s="8">
        <f t="shared" si="15"/>
        <v>40832.208333333336</v>
      </c>
      <c r="P457" s="5">
        <f>_xlfn.DAYS(Table2[[#This Row],[Date Ended Conversion]],Table2[[#This Row],[Date Created Conversion]])+1</f>
        <v>24</v>
      </c>
      <c r="Q457" t="b">
        <v>0</v>
      </c>
      <c r="R457" t="b">
        <v>0</v>
      </c>
      <c r="S457" t="s">
        <v>33</v>
      </c>
      <c r="T457" t="str">
        <f>_xlfn.TEXTBEFORE(Table2[[#This Row],[category &amp; sub-category]],"/")</f>
        <v>theater</v>
      </c>
      <c r="U457" t="str">
        <f>_xlfn.TEXTAFTER(Table2[[#This Row],[category &amp; sub-category]],"/")</f>
        <v>plays</v>
      </c>
    </row>
    <row r="458" spans="1:21" ht="34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5">
        <f>100*Table2[[#This Row],[pledged]]/Table2[[#This Row],[goal]]</f>
        <v>104.1243169398907</v>
      </c>
      <c r="G458" t="s">
        <v>20</v>
      </c>
      <c r="H458">
        <v>1605</v>
      </c>
      <c r="I458" s="4">
        <f>IF(Table2[[#This Row],[pledged]]&gt;0,Table2[[#This Row],[pledged]]/Table2[[#This Row],[backers_count]],0)</f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8">
        <f t="shared" si="14"/>
        <v>43141.25</v>
      </c>
      <c r="O458" s="8">
        <f t="shared" si="15"/>
        <v>43141.25</v>
      </c>
      <c r="P458" s="5">
        <f>_xlfn.DAYS(Table2[[#This Row],[Date Ended Conversion]],Table2[[#This Row],[Date Created Conversion]])+1</f>
        <v>1</v>
      </c>
      <c r="Q458" t="b">
        <v>0</v>
      </c>
      <c r="R458" t="b">
        <v>1</v>
      </c>
      <c r="S458" t="s">
        <v>60</v>
      </c>
      <c r="T458" t="str">
        <f>_xlfn.TEXTBEFORE(Table2[[#This Row],[category &amp; sub-category]],"/")</f>
        <v>music</v>
      </c>
      <c r="U458" t="str">
        <f>_xlfn.TEXTAFTER(Table2[[#This Row],[category &amp; sub-category]],"/")</f>
        <v>indie rock</v>
      </c>
    </row>
    <row r="459" spans="1:21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5">
        <f>100*Table2[[#This Row],[pledged]]/Table2[[#This Row],[goal]]</f>
        <v>26.64</v>
      </c>
      <c r="G459" t="s">
        <v>14</v>
      </c>
      <c r="H459">
        <v>46</v>
      </c>
      <c r="I459" s="4">
        <f>IF(Table2[[#This Row],[pledged]]&gt;0,Table2[[#This Row],[pledged]]/Table2[[#This Row],[backers_count]],0)</f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8">
        <f t="shared" si="14"/>
        <v>42657.208333333328</v>
      </c>
      <c r="O459" s="8">
        <f t="shared" si="15"/>
        <v>42659.208333333328</v>
      </c>
      <c r="P459" s="5">
        <f>_xlfn.DAYS(Table2[[#This Row],[Date Ended Conversion]],Table2[[#This Row],[Date Created Conversion]])+1</f>
        <v>3</v>
      </c>
      <c r="Q459" t="b">
        <v>0</v>
      </c>
      <c r="R459" t="b">
        <v>0</v>
      </c>
      <c r="S459" t="s">
        <v>33</v>
      </c>
      <c r="T459" t="str">
        <f>_xlfn.TEXTBEFORE(Table2[[#This Row],[category &amp; sub-category]],"/")</f>
        <v>theater</v>
      </c>
      <c r="U459" t="str">
        <f>_xlfn.TEXTAFTER(Table2[[#This Row],[category &amp; sub-category]],"/")</f>
        <v>plays</v>
      </c>
    </row>
    <row r="460" spans="1:21" ht="17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5">
        <f>100*Table2[[#This Row],[pledged]]/Table2[[#This Row],[goal]]</f>
        <v>351.20118343195264</v>
      </c>
      <c r="G460" t="s">
        <v>20</v>
      </c>
      <c r="H460">
        <v>2120</v>
      </c>
      <c r="I460" s="4">
        <f>IF(Table2[[#This Row],[pledged]]&gt;0,Table2[[#This Row],[pledged]]/Table2[[#This Row],[backers_count]],0)</f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8">
        <f t="shared" si="14"/>
        <v>40265.208333333336</v>
      </c>
      <c r="O460" s="8">
        <f t="shared" si="15"/>
        <v>40309.208333333336</v>
      </c>
      <c r="P460" s="5">
        <f>_xlfn.DAYS(Table2[[#This Row],[Date Ended Conversion]],Table2[[#This Row],[Date Created Conversion]])+1</f>
        <v>45</v>
      </c>
      <c r="Q460" t="b">
        <v>0</v>
      </c>
      <c r="R460" t="b">
        <v>0</v>
      </c>
      <c r="S460" t="s">
        <v>33</v>
      </c>
      <c r="T460" t="str">
        <f>_xlfn.TEXTBEFORE(Table2[[#This Row],[category &amp; sub-category]],"/")</f>
        <v>theater</v>
      </c>
      <c r="U460" t="str">
        <f>_xlfn.TEXTAFTER(Table2[[#This Row],[category &amp; sub-category]],"/")</f>
        <v>plays</v>
      </c>
    </row>
    <row r="461" spans="1:21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5">
        <f>100*Table2[[#This Row],[pledged]]/Table2[[#This Row],[goal]]</f>
        <v>90.063492063492063</v>
      </c>
      <c r="G461" t="s">
        <v>14</v>
      </c>
      <c r="H461">
        <v>105</v>
      </c>
      <c r="I461" s="4">
        <f>IF(Table2[[#This Row],[pledged]]&gt;0,Table2[[#This Row],[pledged]]/Table2[[#This Row],[backers_count]],0)</f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8">
        <f t="shared" si="14"/>
        <v>42001.25</v>
      </c>
      <c r="O461" s="8">
        <f t="shared" si="15"/>
        <v>42026.25</v>
      </c>
      <c r="P461" s="5">
        <f>_xlfn.DAYS(Table2[[#This Row],[Date Ended Conversion]],Table2[[#This Row],[Date Created Conversion]])+1</f>
        <v>26</v>
      </c>
      <c r="Q461" t="b">
        <v>0</v>
      </c>
      <c r="R461" t="b">
        <v>0</v>
      </c>
      <c r="S461" t="s">
        <v>42</v>
      </c>
      <c r="T461" t="str">
        <f>_xlfn.TEXTBEFORE(Table2[[#This Row],[category &amp; sub-category]],"/")</f>
        <v>film &amp; video</v>
      </c>
      <c r="U461" t="str">
        <f>_xlfn.TEXTAFTER(Table2[[#This Row],[category &amp; sub-category]],"/")</f>
        <v>documentary</v>
      </c>
    </row>
    <row r="462" spans="1:21" ht="17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5">
        <f>100*Table2[[#This Row],[pledged]]/Table2[[#This Row],[goal]]</f>
        <v>171.625</v>
      </c>
      <c r="G462" t="s">
        <v>20</v>
      </c>
      <c r="H462">
        <v>50</v>
      </c>
      <c r="I462" s="4">
        <f>IF(Table2[[#This Row],[pledged]]&gt;0,Table2[[#This Row],[pledged]]/Table2[[#This Row],[backers_count]],0)</f>
        <v>82.38</v>
      </c>
      <c r="J462" t="s">
        <v>21</v>
      </c>
      <c r="K462" t="s">
        <v>22</v>
      </c>
      <c r="L462">
        <v>1281330000</v>
      </c>
      <c r="M462">
        <v>1281589200</v>
      </c>
      <c r="N462" s="8">
        <f t="shared" si="14"/>
        <v>40399.208333333336</v>
      </c>
      <c r="O462" s="8">
        <f t="shared" si="15"/>
        <v>40402.208333333336</v>
      </c>
      <c r="P462" s="5">
        <f>_xlfn.DAYS(Table2[[#This Row],[Date Ended Conversion]],Table2[[#This Row],[Date Created Conversion]])+1</f>
        <v>4</v>
      </c>
      <c r="Q462" t="b">
        <v>0</v>
      </c>
      <c r="R462" t="b">
        <v>0</v>
      </c>
      <c r="S462" t="s">
        <v>33</v>
      </c>
      <c r="T462" t="str">
        <f>_xlfn.TEXTBEFORE(Table2[[#This Row],[category &amp; sub-category]],"/")</f>
        <v>theater</v>
      </c>
      <c r="U462" t="str">
        <f>_xlfn.TEXTAFTER(Table2[[#This Row],[category &amp; sub-category]],"/")</f>
        <v>plays</v>
      </c>
    </row>
    <row r="463" spans="1:21" ht="17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5">
        <f>100*Table2[[#This Row],[pledged]]/Table2[[#This Row],[goal]]</f>
        <v>141.04655870445345</v>
      </c>
      <c r="G463" t="s">
        <v>20</v>
      </c>
      <c r="H463">
        <v>2080</v>
      </c>
      <c r="I463" s="4">
        <f>IF(Table2[[#This Row],[pledged]]&gt;0,Table2[[#This Row],[pledged]]/Table2[[#This Row],[backers_count]],0)</f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8">
        <f t="shared" si="14"/>
        <v>41757.208333333336</v>
      </c>
      <c r="O463" s="8">
        <f t="shared" si="15"/>
        <v>41777.208333333336</v>
      </c>
      <c r="P463" s="5">
        <f>_xlfn.DAYS(Table2[[#This Row],[Date Ended Conversion]],Table2[[#This Row],[Date Created Conversion]])+1</f>
        <v>21</v>
      </c>
      <c r="Q463" t="b">
        <v>0</v>
      </c>
      <c r="R463" t="b">
        <v>0</v>
      </c>
      <c r="S463" t="s">
        <v>53</v>
      </c>
      <c r="T463" t="str">
        <f>_xlfn.TEXTBEFORE(Table2[[#This Row],[category &amp; sub-category]],"/")</f>
        <v>film &amp; video</v>
      </c>
      <c r="U463" t="str">
        <f>_xlfn.TEXTAFTER(Table2[[#This Row],[category &amp; sub-category]],"/")</f>
        <v>drama</v>
      </c>
    </row>
    <row r="464" spans="1:21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5">
        <f>100*Table2[[#This Row],[pledged]]/Table2[[#This Row],[goal]]</f>
        <v>30.579449152542374</v>
      </c>
      <c r="G464" t="s">
        <v>14</v>
      </c>
      <c r="H464">
        <v>535</v>
      </c>
      <c r="I464" s="4">
        <f>IF(Table2[[#This Row],[pledged]]&gt;0,Table2[[#This Row],[pledged]]/Table2[[#This Row],[backers_count]],0)</f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8">
        <f t="shared" si="14"/>
        <v>41304.25</v>
      </c>
      <c r="O464" s="8">
        <f t="shared" si="15"/>
        <v>41342.25</v>
      </c>
      <c r="P464" s="5">
        <f>_xlfn.DAYS(Table2[[#This Row],[Date Ended Conversion]],Table2[[#This Row],[Date Created Conversion]])+1</f>
        <v>39</v>
      </c>
      <c r="Q464" t="b">
        <v>0</v>
      </c>
      <c r="R464" t="b">
        <v>0</v>
      </c>
      <c r="S464" t="s">
        <v>292</v>
      </c>
      <c r="T464" t="str">
        <f>_xlfn.TEXTBEFORE(Table2[[#This Row],[category &amp; sub-category]],"/")</f>
        <v>games</v>
      </c>
      <c r="U464" t="str">
        <f>_xlfn.TEXTAFTER(Table2[[#This Row],[category &amp; sub-category]],"/")</f>
        <v>mobile games</v>
      </c>
    </row>
    <row r="465" spans="1:21" ht="34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5">
        <f>100*Table2[[#This Row],[pledged]]/Table2[[#This Row],[goal]]</f>
        <v>108.16455696202532</v>
      </c>
      <c r="G465" t="s">
        <v>20</v>
      </c>
      <c r="H465">
        <v>2105</v>
      </c>
      <c r="I465" s="4">
        <f>IF(Table2[[#This Row],[pledged]]&gt;0,Table2[[#This Row],[pledged]]/Table2[[#This Row],[backers_count]],0)</f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8">
        <f t="shared" si="14"/>
        <v>41639.25</v>
      </c>
      <c r="O465" s="8">
        <f t="shared" si="15"/>
        <v>41643.25</v>
      </c>
      <c r="P465" s="5">
        <f>_xlfn.DAYS(Table2[[#This Row],[Date Ended Conversion]],Table2[[#This Row],[Date Created Conversion]])+1</f>
        <v>5</v>
      </c>
      <c r="Q465" t="b">
        <v>0</v>
      </c>
      <c r="R465" t="b">
        <v>0</v>
      </c>
      <c r="S465" t="s">
        <v>71</v>
      </c>
      <c r="T465" t="str">
        <f>_xlfn.TEXTBEFORE(Table2[[#This Row],[category &amp; sub-category]],"/")</f>
        <v>film &amp; video</v>
      </c>
      <c r="U465" t="str">
        <f>_xlfn.TEXTAFTER(Table2[[#This Row],[category &amp; sub-category]],"/")</f>
        <v>animation</v>
      </c>
    </row>
    <row r="466" spans="1:21" ht="17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5">
        <f>100*Table2[[#This Row],[pledged]]/Table2[[#This Row],[goal]]</f>
        <v>133.45505617977528</v>
      </c>
      <c r="G466" t="s">
        <v>20</v>
      </c>
      <c r="H466">
        <v>2436</v>
      </c>
      <c r="I466" s="4">
        <f>IF(Table2[[#This Row],[pledged]]&gt;0,Table2[[#This Row],[pledged]]/Table2[[#This Row],[backers_count]],0)</f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8">
        <f t="shared" si="14"/>
        <v>43142.25</v>
      </c>
      <c r="O466" s="8">
        <f t="shared" si="15"/>
        <v>43156.25</v>
      </c>
      <c r="P466" s="5">
        <f>_xlfn.DAYS(Table2[[#This Row],[Date Ended Conversion]],Table2[[#This Row],[Date Created Conversion]])+1</f>
        <v>15</v>
      </c>
      <c r="Q466" t="b">
        <v>0</v>
      </c>
      <c r="R466" t="b">
        <v>0</v>
      </c>
      <c r="S466" t="s">
        <v>33</v>
      </c>
      <c r="T466" t="str">
        <f>_xlfn.TEXTBEFORE(Table2[[#This Row],[category &amp; sub-category]],"/")</f>
        <v>theater</v>
      </c>
      <c r="U466" t="str">
        <f>_xlfn.TEXTAFTER(Table2[[#This Row],[category &amp; sub-category]],"/")</f>
        <v>plays</v>
      </c>
    </row>
    <row r="467" spans="1:21" ht="17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5">
        <f>100*Table2[[#This Row],[pledged]]/Table2[[#This Row],[goal]]</f>
        <v>187.85106382978722</v>
      </c>
      <c r="G467" t="s">
        <v>20</v>
      </c>
      <c r="H467">
        <v>80</v>
      </c>
      <c r="I467" s="4">
        <f>IF(Table2[[#This Row],[pledged]]&gt;0,Table2[[#This Row],[pledged]]/Table2[[#This Row],[backers_count]],0)</f>
        <v>110.3625</v>
      </c>
      <c r="J467" t="s">
        <v>21</v>
      </c>
      <c r="K467" t="s">
        <v>22</v>
      </c>
      <c r="L467">
        <v>1517032800</v>
      </c>
      <c r="M467">
        <v>1517810400</v>
      </c>
      <c r="N467" s="8">
        <f t="shared" si="14"/>
        <v>43127.25</v>
      </c>
      <c r="O467" s="8">
        <f t="shared" si="15"/>
        <v>43136.25</v>
      </c>
      <c r="P467" s="5">
        <f>_xlfn.DAYS(Table2[[#This Row],[Date Ended Conversion]],Table2[[#This Row],[Date Created Conversion]])+1</f>
        <v>10</v>
      </c>
      <c r="Q467" t="b">
        <v>0</v>
      </c>
      <c r="R467" t="b">
        <v>0</v>
      </c>
      <c r="S467" t="s">
        <v>206</v>
      </c>
      <c r="T467" t="str">
        <f>_xlfn.TEXTBEFORE(Table2[[#This Row],[category &amp; sub-category]],"/")</f>
        <v>publishing</v>
      </c>
      <c r="U467" t="str">
        <f>_xlfn.TEXTAFTER(Table2[[#This Row],[category &amp; sub-category]],"/")</f>
        <v>translations</v>
      </c>
    </row>
    <row r="468" spans="1:21" ht="17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5">
        <f>100*Table2[[#This Row],[pledged]]/Table2[[#This Row],[goal]]</f>
        <v>332</v>
      </c>
      <c r="G468" t="s">
        <v>20</v>
      </c>
      <c r="H468">
        <v>42</v>
      </c>
      <c r="I468" s="4">
        <f>IF(Table2[[#This Row],[pledged]]&gt;0,Table2[[#This Row],[pledged]]/Table2[[#This Row],[backers_count]],0)</f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8">
        <f t="shared" si="14"/>
        <v>41409.208333333336</v>
      </c>
      <c r="O468" s="8">
        <f t="shared" si="15"/>
        <v>41432.208333333336</v>
      </c>
      <c r="P468" s="5">
        <f>_xlfn.DAYS(Table2[[#This Row],[Date Ended Conversion]],Table2[[#This Row],[Date Created Conversion]])+1</f>
        <v>24</v>
      </c>
      <c r="Q468" t="b">
        <v>0</v>
      </c>
      <c r="R468" t="b">
        <v>1</v>
      </c>
      <c r="S468" t="s">
        <v>65</v>
      </c>
      <c r="T468" t="str">
        <f>_xlfn.TEXTBEFORE(Table2[[#This Row],[category &amp; sub-category]],"/")</f>
        <v>technology</v>
      </c>
      <c r="U468" t="str">
        <f>_xlfn.TEXTAFTER(Table2[[#This Row],[category &amp; sub-category]],"/")</f>
        <v>wearables</v>
      </c>
    </row>
    <row r="469" spans="1:21" ht="34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5">
        <f>100*Table2[[#This Row],[pledged]]/Table2[[#This Row],[goal]]</f>
        <v>575.21428571428567</v>
      </c>
      <c r="G469" t="s">
        <v>20</v>
      </c>
      <c r="H469">
        <v>139</v>
      </c>
      <c r="I469" s="4">
        <f>IF(Table2[[#This Row],[pledged]]&gt;0,Table2[[#This Row],[pledged]]/Table2[[#This Row],[backers_count]],0)</f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8">
        <f t="shared" si="14"/>
        <v>42331.25</v>
      </c>
      <c r="O469" s="8">
        <f t="shared" si="15"/>
        <v>42338.25</v>
      </c>
      <c r="P469" s="5">
        <f>_xlfn.DAYS(Table2[[#This Row],[Date Ended Conversion]],Table2[[#This Row],[Date Created Conversion]])+1</f>
        <v>8</v>
      </c>
      <c r="Q469" t="b">
        <v>0</v>
      </c>
      <c r="R469" t="b">
        <v>1</v>
      </c>
      <c r="S469" t="s">
        <v>28</v>
      </c>
      <c r="T469" t="str">
        <f>_xlfn.TEXTBEFORE(Table2[[#This Row],[category &amp; sub-category]],"/")</f>
        <v>technology</v>
      </c>
      <c r="U469" t="str">
        <f>_xlfn.TEXTAFTER(Table2[[#This Row],[category &amp; sub-category]],"/")</f>
        <v>web</v>
      </c>
    </row>
    <row r="470" spans="1:21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5">
        <f>100*Table2[[#This Row],[pledged]]/Table2[[#This Row],[goal]]</f>
        <v>40.5</v>
      </c>
      <c r="G470" t="s">
        <v>14</v>
      </c>
      <c r="H470">
        <v>16</v>
      </c>
      <c r="I470" s="4">
        <f>IF(Table2[[#This Row],[pledged]]&gt;0,Table2[[#This Row],[pledged]]/Table2[[#This Row],[backers_count]],0)</f>
        <v>101.25</v>
      </c>
      <c r="J470" t="s">
        <v>21</v>
      </c>
      <c r="K470" t="s">
        <v>22</v>
      </c>
      <c r="L470">
        <v>1555218000</v>
      </c>
      <c r="M470">
        <v>1556600400</v>
      </c>
      <c r="N470" s="8">
        <f t="shared" si="14"/>
        <v>43569.208333333328</v>
      </c>
      <c r="O470" s="8">
        <f t="shared" si="15"/>
        <v>43585.208333333328</v>
      </c>
      <c r="P470" s="5">
        <f>_xlfn.DAYS(Table2[[#This Row],[Date Ended Conversion]],Table2[[#This Row],[Date Created Conversion]])+1</f>
        <v>17</v>
      </c>
      <c r="Q470" t="b">
        <v>0</v>
      </c>
      <c r="R470" t="b">
        <v>0</v>
      </c>
      <c r="S470" t="s">
        <v>33</v>
      </c>
      <c r="T470" t="str">
        <f>_xlfn.TEXTBEFORE(Table2[[#This Row],[category &amp; sub-category]],"/")</f>
        <v>theater</v>
      </c>
      <c r="U470" t="str">
        <f>_xlfn.TEXTAFTER(Table2[[#This Row],[category &amp; sub-category]],"/")</f>
        <v>plays</v>
      </c>
    </row>
    <row r="471" spans="1:21" ht="17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5">
        <f>100*Table2[[#This Row],[pledged]]/Table2[[#This Row],[goal]]</f>
        <v>184.42857142857142</v>
      </c>
      <c r="G471" t="s">
        <v>20</v>
      </c>
      <c r="H471">
        <v>159</v>
      </c>
      <c r="I471" s="4">
        <f>IF(Table2[[#This Row],[pledged]]&gt;0,Table2[[#This Row],[pledged]]/Table2[[#This Row],[backers_count]],0)</f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8">
        <f t="shared" si="14"/>
        <v>42142.208333333328</v>
      </c>
      <c r="O471" s="8">
        <f t="shared" si="15"/>
        <v>42144.208333333328</v>
      </c>
      <c r="P471" s="5">
        <f>_xlfn.DAYS(Table2[[#This Row],[Date Ended Conversion]],Table2[[#This Row],[Date Created Conversion]])+1</f>
        <v>3</v>
      </c>
      <c r="Q471" t="b">
        <v>0</v>
      </c>
      <c r="R471" t="b">
        <v>0</v>
      </c>
      <c r="S471" t="s">
        <v>53</v>
      </c>
      <c r="T471" t="str">
        <f>_xlfn.TEXTBEFORE(Table2[[#This Row],[category &amp; sub-category]],"/")</f>
        <v>film &amp; video</v>
      </c>
      <c r="U471" t="str">
        <f>_xlfn.TEXTAFTER(Table2[[#This Row],[category &amp; sub-category]],"/")</f>
        <v>drama</v>
      </c>
    </row>
    <row r="472" spans="1:21" ht="17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5">
        <f>100*Table2[[#This Row],[pledged]]/Table2[[#This Row],[goal]]</f>
        <v>285.80555555555554</v>
      </c>
      <c r="G472" t="s">
        <v>20</v>
      </c>
      <c r="H472">
        <v>381</v>
      </c>
      <c r="I472" s="4">
        <f>IF(Table2[[#This Row],[pledged]]&gt;0,Table2[[#This Row],[pledged]]/Table2[[#This Row],[backers_count]],0)</f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8">
        <f t="shared" si="14"/>
        <v>42716.25</v>
      </c>
      <c r="O472" s="8">
        <f t="shared" si="15"/>
        <v>42723.25</v>
      </c>
      <c r="P472" s="5">
        <f>_xlfn.DAYS(Table2[[#This Row],[Date Ended Conversion]],Table2[[#This Row],[Date Created Conversion]])+1</f>
        <v>8</v>
      </c>
      <c r="Q472" t="b">
        <v>0</v>
      </c>
      <c r="R472" t="b">
        <v>0</v>
      </c>
      <c r="S472" t="s">
        <v>65</v>
      </c>
      <c r="T472" t="str">
        <f>_xlfn.TEXTBEFORE(Table2[[#This Row],[category &amp; sub-category]],"/")</f>
        <v>technology</v>
      </c>
      <c r="U472" t="str">
        <f>_xlfn.TEXTAFTER(Table2[[#This Row],[category &amp; sub-category]],"/")</f>
        <v>wearables</v>
      </c>
    </row>
    <row r="473" spans="1:21" ht="17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5">
        <f>100*Table2[[#This Row],[pledged]]/Table2[[#This Row],[goal]]</f>
        <v>319</v>
      </c>
      <c r="G473" t="s">
        <v>20</v>
      </c>
      <c r="H473">
        <v>194</v>
      </c>
      <c r="I473" s="4">
        <f>IF(Table2[[#This Row],[pledged]]&gt;0,Table2[[#This Row],[pledged]]/Table2[[#This Row],[backers_count]],0)</f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8">
        <f t="shared" si="14"/>
        <v>41031.208333333336</v>
      </c>
      <c r="O473" s="8">
        <f t="shared" si="15"/>
        <v>41031.208333333336</v>
      </c>
      <c r="P473" s="5">
        <f>_xlfn.DAYS(Table2[[#This Row],[Date Ended Conversion]],Table2[[#This Row],[Date Created Conversion]])+1</f>
        <v>1</v>
      </c>
      <c r="Q473" t="b">
        <v>0</v>
      </c>
      <c r="R473" t="b">
        <v>1</v>
      </c>
      <c r="S473" t="s">
        <v>17</v>
      </c>
      <c r="T473" t="str">
        <f>_xlfn.TEXTBEFORE(Table2[[#This Row],[category &amp; sub-category]],"/")</f>
        <v>food</v>
      </c>
      <c r="U473" t="str">
        <f>_xlfn.TEXTAFTER(Table2[[#This Row],[category &amp; sub-category]],"/")</f>
        <v>food trucks</v>
      </c>
    </row>
    <row r="474" spans="1:21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5">
        <f>100*Table2[[#This Row],[pledged]]/Table2[[#This Row],[goal]]</f>
        <v>39.234070221066318</v>
      </c>
      <c r="G474" t="s">
        <v>14</v>
      </c>
      <c r="H474">
        <v>575</v>
      </c>
      <c r="I474" s="4">
        <f>IF(Table2[[#This Row],[pledged]]&gt;0,Table2[[#This Row],[pledged]]/Table2[[#This Row],[backers_count]],0)</f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8">
        <f t="shared" si="14"/>
        <v>43535.208333333328</v>
      </c>
      <c r="O474" s="8">
        <f t="shared" si="15"/>
        <v>43589.208333333328</v>
      </c>
      <c r="P474" s="5">
        <f>_xlfn.DAYS(Table2[[#This Row],[Date Ended Conversion]],Table2[[#This Row],[Date Created Conversion]])+1</f>
        <v>55</v>
      </c>
      <c r="Q474" t="b">
        <v>0</v>
      </c>
      <c r="R474" t="b">
        <v>0</v>
      </c>
      <c r="S474" t="s">
        <v>23</v>
      </c>
      <c r="T474" t="str">
        <f>_xlfn.TEXTBEFORE(Table2[[#This Row],[category &amp; sub-category]],"/")</f>
        <v>music</v>
      </c>
      <c r="U474" t="str">
        <f>_xlfn.TEXTAFTER(Table2[[#This Row],[category &amp; sub-category]],"/")</f>
        <v>rock</v>
      </c>
    </row>
    <row r="475" spans="1:21" ht="17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5">
        <f>100*Table2[[#This Row],[pledged]]/Table2[[#This Row],[goal]]</f>
        <v>178.14</v>
      </c>
      <c r="G475" t="s">
        <v>20</v>
      </c>
      <c r="H475">
        <v>106</v>
      </c>
      <c r="I475" s="4">
        <f>IF(Table2[[#This Row],[pledged]]&gt;0,Table2[[#This Row],[pledged]]/Table2[[#This Row],[backers_count]],0)</f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8">
        <f t="shared" si="14"/>
        <v>43277.208333333328</v>
      </c>
      <c r="O475" s="8">
        <f t="shared" si="15"/>
        <v>43278.208333333328</v>
      </c>
      <c r="P475" s="5">
        <f>_xlfn.DAYS(Table2[[#This Row],[Date Ended Conversion]],Table2[[#This Row],[Date Created Conversion]])+1</f>
        <v>2</v>
      </c>
      <c r="Q475" t="b">
        <v>0</v>
      </c>
      <c r="R475" t="b">
        <v>0</v>
      </c>
      <c r="S475" t="s">
        <v>50</v>
      </c>
      <c r="T475" t="str">
        <f>_xlfn.TEXTBEFORE(Table2[[#This Row],[category &amp; sub-category]],"/")</f>
        <v>music</v>
      </c>
      <c r="U475" t="str">
        <f>_xlfn.TEXTAFTER(Table2[[#This Row],[category &amp; sub-category]],"/")</f>
        <v>electric music</v>
      </c>
    </row>
    <row r="476" spans="1:21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5">
        <f>100*Table2[[#This Row],[pledged]]/Table2[[#This Row],[goal]]</f>
        <v>365.15</v>
      </c>
      <c r="G476" t="s">
        <v>20</v>
      </c>
      <c r="H476">
        <v>142</v>
      </c>
      <c r="I476" s="4">
        <f>IF(Table2[[#This Row],[pledged]]&gt;0,Table2[[#This Row],[pledged]]/Table2[[#This Row],[backers_count]],0)</f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8">
        <f t="shared" si="14"/>
        <v>41989.25</v>
      </c>
      <c r="O476" s="8">
        <f t="shared" si="15"/>
        <v>41990.25</v>
      </c>
      <c r="P476" s="5">
        <f>_xlfn.DAYS(Table2[[#This Row],[Date Ended Conversion]],Table2[[#This Row],[Date Created Conversion]])+1</f>
        <v>2</v>
      </c>
      <c r="Q476" t="b">
        <v>0</v>
      </c>
      <c r="R476" t="b">
        <v>0</v>
      </c>
      <c r="S476" t="s">
        <v>269</v>
      </c>
      <c r="T476" t="str">
        <f>_xlfn.TEXTBEFORE(Table2[[#This Row],[category &amp; sub-category]],"/")</f>
        <v>film &amp; video</v>
      </c>
      <c r="U476" t="str">
        <f>_xlfn.TEXTAFTER(Table2[[#This Row],[category &amp; sub-category]],"/")</f>
        <v>television</v>
      </c>
    </row>
    <row r="477" spans="1:21" ht="34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5">
        <f>100*Table2[[#This Row],[pledged]]/Table2[[#This Row],[goal]]</f>
        <v>113.94594594594595</v>
      </c>
      <c r="G477" t="s">
        <v>20</v>
      </c>
      <c r="H477">
        <v>211</v>
      </c>
      <c r="I477" s="4">
        <f>IF(Table2[[#This Row],[pledged]]&gt;0,Table2[[#This Row],[pledged]]/Table2[[#This Row],[backers_count]],0)</f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8">
        <f t="shared" si="14"/>
        <v>41450.208333333336</v>
      </c>
      <c r="O477" s="8">
        <f t="shared" si="15"/>
        <v>41454.208333333336</v>
      </c>
      <c r="P477" s="5">
        <f>_xlfn.DAYS(Table2[[#This Row],[Date Ended Conversion]],Table2[[#This Row],[Date Created Conversion]])+1</f>
        <v>5</v>
      </c>
      <c r="Q477" t="b">
        <v>0</v>
      </c>
      <c r="R477" t="b">
        <v>1</v>
      </c>
      <c r="S477" t="s">
        <v>206</v>
      </c>
      <c r="T477" t="str">
        <f>_xlfn.TEXTBEFORE(Table2[[#This Row],[category &amp; sub-category]],"/")</f>
        <v>publishing</v>
      </c>
      <c r="U477" t="str">
        <f>_xlfn.TEXTAFTER(Table2[[#This Row],[category &amp; sub-category]],"/")</f>
        <v>translations</v>
      </c>
    </row>
    <row r="478" spans="1:21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5">
        <f>100*Table2[[#This Row],[pledged]]/Table2[[#This Row],[goal]]</f>
        <v>29.828720626631853</v>
      </c>
      <c r="G478" t="s">
        <v>14</v>
      </c>
      <c r="H478">
        <v>1120</v>
      </c>
      <c r="I478" s="4">
        <f>IF(Table2[[#This Row],[pledged]]&gt;0,Table2[[#This Row],[pledged]]/Table2[[#This Row],[backers_count]],0)</f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8">
        <f t="shared" si="14"/>
        <v>43322.208333333328</v>
      </c>
      <c r="O478" s="8">
        <f t="shared" si="15"/>
        <v>43328.208333333328</v>
      </c>
      <c r="P478" s="5">
        <f>_xlfn.DAYS(Table2[[#This Row],[Date Ended Conversion]],Table2[[#This Row],[Date Created Conversion]])+1</f>
        <v>7</v>
      </c>
      <c r="Q478" t="b">
        <v>0</v>
      </c>
      <c r="R478" t="b">
        <v>0</v>
      </c>
      <c r="S478" t="s">
        <v>119</v>
      </c>
      <c r="T478" t="str">
        <f>_xlfn.TEXTBEFORE(Table2[[#This Row],[category &amp; sub-category]],"/")</f>
        <v>publishing</v>
      </c>
      <c r="U478" t="str">
        <f>_xlfn.TEXTAFTER(Table2[[#This Row],[category &amp; sub-category]],"/")</f>
        <v>fiction</v>
      </c>
    </row>
    <row r="479" spans="1:21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5">
        <f>100*Table2[[#This Row],[pledged]]/Table2[[#This Row],[goal]]</f>
        <v>54.27058823529412</v>
      </c>
      <c r="G479" t="s">
        <v>14</v>
      </c>
      <c r="H479">
        <v>113</v>
      </c>
      <c r="I479" s="4">
        <f>IF(Table2[[#This Row],[pledged]]&gt;0,Table2[[#This Row],[pledged]]/Table2[[#This Row],[backers_count]],0)</f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8">
        <f t="shared" si="14"/>
        <v>40720.208333333336</v>
      </c>
      <c r="O479" s="8">
        <f t="shared" si="15"/>
        <v>40747.208333333336</v>
      </c>
      <c r="P479" s="5">
        <f>_xlfn.DAYS(Table2[[#This Row],[Date Ended Conversion]],Table2[[#This Row],[Date Created Conversion]])+1</f>
        <v>28</v>
      </c>
      <c r="Q479" t="b">
        <v>0</v>
      </c>
      <c r="R479" t="b">
        <v>0</v>
      </c>
      <c r="S479" t="s">
        <v>474</v>
      </c>
      <c r="T479" t="str">
        <f>_xlfn.TEXTBEFORE(Table2[[#This Row],[category &amp; sub-category]],"/")</f>
        <v>film &amp; video</v>
      </c>
      <c r="U479" t="str">
        <f>_xlfn.TEXTAFTER(Table2[[#This Row],[category &amp; sub-category]],"/")</f>
        <v>science fiction</v>
      </c>
    </row>
    <row r="480" spans="1:21" ht="17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5">
        <f>100*Table2[[#This Row],[pledged]]/Table2[[#This Row],[goal]]</f>
        <v>236.34156976744185</v>
      </c>
      <c r="G480" t="s">
        <v>20</v>
      </c>
      <c r="H480">
        <v>2756</v>
      </c>
      <c r="I480" s="4">
        <f>IF(Table2[[#This Row],[pledged]]&gt;0,Table2[[#This Row],[pledged]]/Table2[[#This Row],[backers_count]],0)</f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8">
        <f t="shared" si="14"/>
        <v>42072.208333333328</v>
      </c>
      <c r="O480" s="8">
        <f t="shared" si="15"/>
        <v>42084.208333333328</v>
      </c>
      <c r="P480" s="5">
        <f>_xlfn.DAYS(Table2[[#This Row],[Date Ended Conversion]],Table2[[#This Row],[Date Created Conversion]])+1</f>
        <v>13</v>
      </c>
      <c r="Q480" t="b">
        <v>0</v>
      </c>
      <c r="R480" t="b">
        <v>0</v>
      </c>
      <c r="S480" t="s">
        <v>65</v>
      </c>
      <c r="T480" t="str">
        <f>_xlfn.TEXTBEFORE(Table2[[#This Row],[category &amp; sub-category]],"/")</f>
        <v>technology</v>
      </c>
      <c r="U480" t="str">
        <f>_xlfn.TEXTAFTER(Table2[[#This Row],[category &amp; sub-category]],"/")</f>
        <v>wearables</v>
      </c>
    </row>
    <row r="481" spans="1:21" ht="17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5">
        <f>100*Table2[[#This Row],[pledged]]/Table2[[#This Row],[goal]]</f>
        <v>512.91666666666663</v>
      </c>
      <c r="G481" t="s">
        <v>20</v>
      </c>
      <c r="H481">
        <v>173</v>
      </c>
      <c r="I481" s="4">
        <f>IF(Table2[[#This Row],[pledged]]&gt;0,Table2[[#This Row],[pledged]]/Table2[[#This Row],[backers_count]],0)</f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8">
        <f t="shared" si="14"/>
        <v>42945.208333333328</v>
      </c>
      <c r="O481" s="8">
        <f t="shared" si="15"/>
        <v>42947.208333333328</v>
      </c>
      <c r="P481" s="5">
        <f>_xlfn.DAYS(Table2[[#This Row],[Date Ended Conversion]],Table2[[#This Row],[Date Created Conversion]])+1</f>
        <v>3</v>
      </c>
      <c r="Q481" t="b">
        <v>0</v>
      </c>
      <c r="R481" t="b">
        <v>0</v>
      </c>
      <c r="S481" t="s">
        <v>17</v>
      </c>
      <c r="T481" t="str">
        <f>_xlfn.TEXTBEFORE(Table2[[#This Row],[category &amp; sub-category]],"/")</f>
        <v>food</v>
      </c>
      <c r="U481" t="str">
        <f>_xlfn.TEXTAFTER(Table2[[#This Row],[category &amp; sub-category]],"/")</f>
        <v>food trucks</v>
      </c>
    </row>
    <row r="482" spans="1:21" ht="17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5">
        <f>100*Table2[[#This Row],[pledged]]/Table2[[#This Row],[goal]]</f>
        <v>100.65116279069767</v>
      </c>
      <c r="G482" t="s">
        <v>20</v>
      </c>
      <c r="H482">
        <v>87</v>
      </c>
      <c r="I482" s="4">
        <f>IF(Table2[[#This Row],[pledged]]&gt;0,Table2[[#This Row],[pledged]]/Table2[[#This Row],[backers_count]],0)</f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8">
        <f t="shared" si="14"/>
        <v>40248.25</v>
      </c>
      <c r="O482" s="8">
        <f t="shared" si="15"/>
        <v>40257.208333333336</v>
      </c>
      <c r="P482" s="5">
        <f>_xlfn.DAYS(Table2[[#This Row],[Date Ended Conversion]],Table2[[#This Row],[Date Created Conversion]])+1</f>
        <v>10</v>
      </c>
      <c r="Q482" t="b">
        <v>0</v>
      </c>
      <c r="R482" t="b">
        <v>1</v>
      </c>
      <c r="S482" t="s">
        <v>122</v>
      </c>
      <c r="T482" t="str">
        <f>_xlfn.TEXTBEFORE(Table2[[#This Row],[category &amp; sub-category]],"/")</f>
        <v>photography</v>
      </c>
      <c r="U482" t="str">
        <f>_xlfn.TEXTAFTER(Table2[[#This Row],[category &amp; sub-category]],"/")</f>
        <v>photography books</v>
      </c>
    </row>
    <row r="483" spans="1:21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5">
        <f>100*Table2[[#This Row],[pledged]]/Table2[[#This Row],[goal]]</f>
        <v>81.348423194303152</v>
      </c>
      <c r="G483" t="s">
        <v>14</v>
      </c>
      <c r="H483">
        <v>1538</v>
      </c>
      <c r="I483" s="4">
        <f>IF(Table2[[#This Row],[pledged]]&gt;0,Table2[[#This Row],[pledged]]/Table2[[#This Row],[backers_count]],0)</f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8">
        <f t="shared" si="14"/>
        <v>41913.208333333336</v>
      </c>
      <c r="O483" s="8">
        <f t="shared" si="15"/>
        <v>41955.25</v>
      </c>
      <c r="P483" s="5">
        <f>_xlfn.DAYS(Table2[[#This Row],[Date Ended Conversion]],Table2[[#This Row],[Date Created Conversion]])+1</f>
        <v>43</v>
      </c>
      <c r="Q483" t="b">
        <v>0</v>
      </c>
      <c r="R483" t="b">
        <v>1</v>
      </c>
      <c r="S483" t="s">
        <v>33</v>
      </c>
      <c r="T483" t="str">
        <f>_xlfn.TEXTBEFORE(Table2[[#This Row],[category &amp; sub-category]],"/")</f>
        <v>theater</v>
      </c>
      <c r="U483" t="str">
        <f>_xlfn.TEXTAFTER(Table2[[#This Row],[category &amp; sub-category]],"/")</f>
        <v>plays</v>
      </c>
    </row>
    <row r="484" spans="1:21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5">
        <f>100*Table2[[#This Row],[pledged]]/Table2[[#This Row],[goal]]</f>
        <v>16.404761904761905</v>
      </c>
      <c r="G484" t="s">
        <v>14</v>
      </c>
      <c r="H484">
        <v>9</v>
      </c>
      <c r="I484" s="4">
        <f>IF(Table2[[#This Row],[pledged]]&gt;0,Table2[[#This Row],[pledged]]/Table2[[#This Row],[backers_count]],0)</f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8">
        <f t="shared" si="14"/>
        <v>40963.25</v>
      </c>
      <c r="O484" s="8">
        <f t="shared" si="15"/>
        <v>40974.25</v>
      </c>
      <c r="P484" s="5">
        <f>_xlfn.DAYS(Table2[[#This Row],[Date Ended Conversion]],Table2[[#This Row],[Date Created Conversion]])+1</f>
        <v>12</v>
      </c>
      <c r="Q484" t="b">
        <v>0</v>
      </c>
      <c r="R484" t="b">
        <v>1</v>
      </c>
      <c r="S484" t="s">
        <v>119</v>
      </c>
      <c r="T484" t="str">
        <f>_xlfn.TEXTBEFORE(Table2[[#This Row],[category &amp; sub-category]],"/")</f>
        <v>publishing</v>
      </c>
      <c r="U484" t="str">
        <f>_xlfn.TEXTAFTER(Table2[[#This Row],[category &amp; sub-category]],"/")</f>
        <v>fiction</v>
      </c>
    </row>
    <row r="485" spans="1:21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5">
        <f>100*Table2[[#This Row],[pledged]]/Table2[[#This Row],[goal]]</f>
        <v>52.774617067833695</v>
      </c>
      <c r="G485" t="s">
        <v>14</v>
      </c>
      <c r="H485">
        <v>554</v>
      </c>
      <c r="I485" s="4">
        <f>IF(Table2[[#This Row],[pledged]]&gt;0,Table2[[#This Row],[pledged]]/Table2[[#This Row],[backers_count]],0)</f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8">
        <f t="shared" si="14"/>
        <v>43811.25</v>
      </c>
      <c r="O485" s="8">
        <f t="shared" si="15"/>
        <v>43818.25</v>
      </c>
      <c r="P485" s="5">
        <f>_xlfn.DAYS(Table2[[#This Row],[Date Ended Conversion]],Table2[[#This Row],[Date Created Conversion]])+1</f>
        <v>8</v>
      </c>
      <c r="Q485" t="b">
        <v>0</v>
      </c>
      <c r="R485" t="b">
        <v>0</v>
      </c>
      <c r="S485" t="s">
        <v>33</v>
      </c>
      <c r="T485" t="str">
        <f>_xlfn.TEXTBEFORE(Table2[[#This Row],[category &amp; sub-category]],"/")</f>
        <v>theater</v>
      </c>
      <c r="U485" t="str">
        <f>_xlfn.TEXTAFTER(Table2[[#This Row],[category &amp; sub-category]],"/")</f>
        <v>plays</v>
      </c>
    </row>
    <row r="486" spans="1:21" ht="17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5">
        <f>100*Table2[[#This Row],[pledged]]/Table2[[#This Row],[goal]]</f>
        <v>260.20608108108109</v>
      </c>
      <c r="G486" t="s">
        <v>20</v>
      </c>
      <c r="H486">
        <v>1572</v>
      </c>
      <c r="I486" s="4">
        <f>IF(Table2[[#This Row],[pledged]]&gt;0,Table2[[#This Row],[pledged]]/Table2[[#This Row],[backers_count]],0)</f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8">
        <f t="shared" si="14"/>
        <v>41855.208333333336</v>
      </c>
      <c r="O486" s="8">
        <f t="shared" si="15"/>
        <v>41904.208333333336</v>
      </c>
      <c r="P486" s="5">
        <f>_xlfn.DAYS(Table2[[#This Row],[Date Ended Conversion]],Table2[[#This Row],[Date Created Conversion]])+1</f>
        <v>50</v>
      </c>
      <c r="Q486" t="b">
        <v>0</v>
      </c>
      <c r="R486" t="b">
        <v>1</v>
      </c>
      <c r="S486" t="s">
        <v>17</v>
      </c>
      <c r="T486" t="str">
        <f>_xlfn.TEXTBEFORE(Table2[[#This Row],[category &amp; sub-category]],"/")</f>
        <v>food</v>
      </c>
      <c r="U486" t="str">
        <f>_xlfn.TEXTAFTER(Table2[[#This Row],[category &amp; sub-category]],"/")</f>
        <v>food trucks</v>
      </c>
    </row>
    <row r="487" spans="1:21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5">
        <f>100*Table2[[#This Row],[pledged]]/Table2[[#This Row],[goal]]</f>
        <v>30.73289183222958</v>
      </c>
      <c r="G487" t="s">
        <v>14</v>
      </c>
      <c r="H487">
        <v>648</v>
      </c>
      <c r="I487" s="4">
        <f>IF(Table2[[#This Row],[pledged]]&gt;0,Table2[[#This Row],[pledged]]/Table2[[#This Row],[backers_count]],0)</f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8">
        <f t="shared" si="14"/>
        <v>43626.208333333328</v>
      </c>
      <c r="O487" s="8">
        <f t="shared" si="15"/>
        <v>43667.208333333328</v>
      </c>
      <c r="P487" s="5">
        <f>_xlfn.DAYS(Table2[[#This Row],[Date Ended Conversion]],Table2[[#This Row],[Date Created Conversion]])+1</f>
        <v>42</v>
      </c>
      <c r="Q487" t="b">
        <v>0</v>
      </c>
      <c r="R487" t="b">
        <v>0</v>
      </c>
      <c r="S487" t="s">
        <v>33</v>
      </c>
      <c r="T487" t="str">
        <f>_xlfn.TEXTBEFORE(Table2[[#This Row],[category &amp; sub-category]],"/")</f>
        <v>theater</v>
      </c>
      <c r="U487" t="str">
        <f>_xlfn.TEXTAFTER(Table2[[#This Row],[category &amp; sub-category]],"/")</f>
        <v>plays</v>
      </c>
    </row>
    <row r="488" spans="1:21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5">
        <f>100*Table2[[#This Row],[pledged]]/Table2[[#This Row],[goal]]</f>
        <v>13.5</v>
      </c>
      <c r="G488" t="s">
        <v>14</v>
      </c>
      <c r="H488">
        <v>21</v>
      </c>
      <c r="I488" s="4">
        <f>IF(Table2[[#This Row],[pledged]]&gt;0,Table2[[#This Row],[pledged]]/Table2[[#This Row],[backers_count]],0)</f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8">
        <f t="shared" si="14"/>
        <v>43168.25</v>
      </c>
      <c r="O488" s="8">
        <f t="shared" si="15"/>
        <v>43183.208333333328</v>
      </c>
      <c r="P488" s="5">
        <f>_xlfn.DAYS(Table2[[#This Row],[Date Ended Conversion]],Table2[[#This Row],[Date Created Conversion]])+1</f>
        <v>16</v>
      </c>
      <c r="Q488" t="b">
        <v>0</v>
      </c>
      <c r="R488" t="b">
        <v>1</v>
      </c>
      <c r="S488" t="s">
        <v>206</v>
      </c>
      <c r="T488" t="str">
        <f>_xlfn.TEXTBEFORE(Table2[[#This Row],[category &amp; sub-category]],"/")</f>
        <v>publishing</v>
      </c>
      <c r="U488" t="str">
        <f>_xlfn.TEXTAFTER(Table2[[#This Row],[category &amp; sub-category]],"/")</f>
        <v>translations</v>
      </c>
    </row>
    <row r="489" spans="1:21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5">
        <f>100*Table2[[#This Row],[pledged]]/Table2[[#This Row],[goal]]</f>
        <v>178.62556663644605</v>
      </c>
      <c r="G489" t="s">
        <v>20</v>
      </c>
      <c r="H489">
        <v>2346</v>
      </c>
      <c r="I489" s="4">
        <f>IF(Table2[[#This Row],[pledged]]&gt;0,Table2[[#This Row],[pledged]]/Table2[[#This Row],[backers_count]],0)</f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8">
        <f t="shared" si="14"/>
        <v>42845.208333333328</v>
      </c>
      <c r="O489" s="8">
        <f t="shared" si="15"/>
        <v>42878.208333333328</v>
      </c>
      <c r="P489" s="5">
        <f>_xlfn.DAYS(Table2[[#This Row],[Date Ended Conversion]],Table2[[#This Row],[Date Created Conversion]])+1</f>
        <v>34</v>
      </c>
      <c r="Q489" t="b">
        <v>0</v>
      </c>
      <c r="R489" t="b">
        <v>0</v>
      </c>
      <c r="S489" t="s">
        <v>33</v>
      </c>
      <c r="T489" t="str">
        <f>_xlfn.TEXTBEFORE(Table2[[#This Row],[category &amp; sub-category]],"/")</f>
        <v>theater</v>
      </c>
      <c r="U489" t="str">
        <f>_xlfn.TEXTAFTER(Table2[[#This Row],[category &amp; sub-category]],"/")</f>
        <v>plays</v>
      </c>
    </row>
    <row r="490" spans="1:21" ht="17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5">
        <f>100*Table2[[#This Row],[pledged]]/Table2[[#This Row],[goal]]</f>
        <v>220.0566037735849</v>
      </c>
      <c r="G490" t="s">
        <v>20</v>
      </c>
      <c r="H490">
        <v>115</v>
      </c>
      <c r="I490" s="4">
        <f>IF(Table2[[#This Row],[pledged]]&gt;0,Table2[[#This Row],[pledged]]/Table2[[#This Row],[backers_count]],0)</f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8">
        <f t="shared" si="14"/>
        <v>42403.25</v>
      </c>
      <c r="O490" s="8">
        <f t="shared" si="15"/>
        <v>42420.25</v>
      </c>
      <c r="P490" s="5">
        <f>_xlfn.DAYS(Table2[[#This Row],[Date Ended Conversion]],Table2[[#This Row],[Date Created Conversion]])+1</f>
        <v>18</v>
      </c>
      <c r="Q490" t="b">
        <v>0</v>
      </c>
      <c r="R490" t="b">
        <v>0</v>
      </c>
      <c r="S490" t="s">
        <v>33</v>
      </c>
      <c r="T490" t="str">
        <f>_xlfn.TEXTBEFORE(Table2[[#This Row],[category &amp; sub-category]],"/")</f>
        <v>theater</v>
      </c>
      <c r="U490" t="str">
        <f>_xlfn.TEXTAFTER(Table2[[#This Row],[category &amp; sub-category]],"/")</f>
        <v>plays</v>
      </c>
    </row>
    <row r="491" spans="1:21" ht="17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5">
        <f>100*Table2[[#This Row],[pledged]]/Table2[[#This Row],[goal]]</f>
        <v>101.51086956521739</v>
      </c>
      <c r="G491" t="s">
        <v>20</v>
      </c>
      <c r="H491">
        <v>85</v>
      </c>
      <c r="I491" s="4">
        <f>IF(Table2[[#This Row],[pledged]]&gt;0,Table2[[#This Row],[pledged]]/Table2[[#This Row],[backers_count]],0)</f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8">
        <f t="shared" si="14"/>
        <v>40406.208333333336</v>
      </c>
      <c r="O491" s="8">
        <f t="shared" si="15"/>
        <v>40411.208333333336</v>
      </c>
      <c r="P491" s="5">
        <f>_xlfn.DAYS(Table2[[#This Row],[Date Ended Conversion]],Table2[[#This Row],[Date Created Conversion]])+1</f>
        <v>6</v>
      </c>
      <c r="Q491" t="b">
        <v>0</v>
      </c>
      <c r="R491" t="b">
        <v>0</v>
      </c>
      <c r="S491" t="s">
        <v>65</v>
      </c>
      <c r="T491" t="str">
        <f>_xlfn.TEXTBEFORE(Table2[[#This Row],[category &amp; sub-category]],"/")</f>
        <v>technology</v>
      </c>
      <c r="U491" t="str">
        <f>_xlfn.TEXTAFTER(Table2[[#This Row],[category &amp; sub-category]],"/")</f>
        <v>wearables</v>
      </c>
    </row>
    <row r="492" spans="1:21" ht="17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5">
        <f>100*Table2[[#This Row],[pledged]]/Table2[[#This Row],[goal]]</f>
        <v>191.5</v>
      </c>
      <c r="G492" t="s">
        <v>20</v>
      </c>
      <c r="H492">
        <v>144</v>
      </c>
      <c r="I492" s="4">
        <f>IF(Table2[[#This Row],[pledged]]&gt;0,Table2[[#This Row],[pledged]]/Table2[[#This Row],[backers_count]],0)</f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8">
        <f t="shared" si="14"/>
        <v>43786.25</v>
      </c>
      <c r="O492" s="8">
        <f t="shared" si="15"/>
        <v>43793.25</v>
      </c>
      <c r="P492" s="5">
        <f>_xlfn.DAYS(Table2[[#This Row],[Date Ended Conversion]],Table2[[#This Row],[Date Created Conversion]])+1</f>
        <v>8</v>
      </c>
      <c r="Q492" t="b">
        <v>0</v>
      </c>
      <c r="R492" t="b">
        <v>0</v>
      </c>
      <c r="S492" t="s">
        <v>1029</v>
      </c>
      <c r="T492" t="str">
        <f>_xlfn.TEXTBEFORE(Table2[[#This Row],[category &amp; sub-category]],"/")</f>
        <v>journalism</v>
      </c>
      <c r="U492" t="str">
        <f>_xlfn.TEXTAFTER(Table2[[#This Row],[category &amp; sub-category]],"/")</f>
        <v>audio</v>
      </c>
    </row>
    <row r="493" spans="1:21" ht="34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5">
        <f>100*Table2[[#This Row],[pledged]]/Table2[[#This Row],[goal]]</f>
        <v>305.34683098591552</v>
      </c>
      <c r="G493" t="s">
        <v>20</v>
      </c>
      <c r="H493">
        <v>2443</v>
      </c>
      <c r="I493" s="4">
        <f>IF(Table2[[#This Row],[pledged]]&gt;0,Table2[[#This Row],[pledged]]/Table2[[#This Row],[backers_count]],0)</f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8">
        <f t="shared" si="14"/>
        <v>41456.208333333336</v>
      </c>
      <c r="O493" s="8">
        <f t="shared" si="15"/>
        <v>41482.208333333336</v>
      </c>
      <c r="P493" s="5">
        <f>_xlfn.DAYS(Table2[[#This Row],[Date Ended Conversion]],Table2[[#This Row],[Date Created Conversion]])+1</f>
        <v>27</v>
      </c>
      <c r="Q493" t="b">
        <v>0</v>
      </c>
      <c r="R493" t="b">
        <v>1</v>
      </c>
      <c r="S493" t="s">
        <v>17</v>
      </c>
      <c r="T493" t="str">
        <f>_xlfn.TEXTBEFORE(Table2[[#This Row],[category &amp; sub-category]],"/")</f>
        <v>food</v>
      </c>
      <c r="U493" t="str">
        <f>_xlfn.TEXTAFTER(Table2[[#This Row],[category &amp; sub-category]],"/")</f>
        <v>food trucks</v>
      </c>
    </row>
    <row r="494" spans="1:21" ht="17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5">
        <f>100*Table2[[#This Row],[pledged]]/Table2[[#This Row],[goal]]</f>
        <v>23.995287958115185</v>
      </c>
      <c r="G494" t="s">
        <v>74</v>
      </c>
      <c r="H494">
        <v>595</v>
      </c>
      <c r="I494" s="4">
        <f>IF(Table2[[#This Row],[pledged]]&gt;0,Table2[[#This Row],[pledged]]/Table2[[#This Row],[backers_count]],0)</f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8">
        <f t="shared" si="14"/>
        <v>40336.208333333336</v>
      </c>
      <c r="O494" s="8">
        <f t="shared" si="15"/>
        <v>40371.208333333336</v>
      </c>
      <c r="P494" s="5">
        <f>_xlfn.DAYS(Table2[[#This Row],[Date Ended Conversion]],Table2[[#This Row],[Date Created Conversion]])+1</f>
        <v>36</v>
      </c>
      <c r="Q494" t="b">
        <v>1</v>
      </c>
      <c r="R494" t="b">
        <v>1</v>
      </c>
      <c r="S494" t="s">
        <v>100</v>
      </c>
      <c r="T494" t="str">
        <f>_xlfn.TEXTBEFORE(Table2[[#This Row],[category &amp; sub-category]],"/")</f>
        <v>film &amp; video</v>
      </c>
      <c r="U494" t="str">
        <f>_xlfn.TEXTAFTER(Table2[[#This Row],[category &amp; sub-category]],"/")</f>
        <v>shorts</v>
      </c>
    </row>
    <row r="495" spans="1:21" ht="17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5">
        <f>100*Table2[[#This Row],[pledged]]/Table2[[#This Row],[goal]]</f>
        <v>723.77777777777783</v>
      </c>
      <c r="G495" t="s">
        <v>20</v>
      </c>
      <c r="H495">
        <v>64</v>
      </c>
      <c r="I495" s="4">
        <f>IF(Table2[[#This Row],[pledged]]&gt;0,Table2[[#This Row],[pledged]]/Table2[[#This Row],[backers_count]],0)</f>
        <v>101.78125</v>
      </c>
      <c r="J495" t="s">
        <v>21</v>
      </c>
      <c r="K495" t="s">
        <v>22</v>
      </c>
      <c r="L495">
        <v>1561784400</v>
      </c>
      <c r="M495">
        <v>1562907600</v>
      </c>
      <c r="N495" s="8">
        <f t="shared" si="14"/>
        <v>43645.208333333328</v>
      </c>
      <c r="O495" s="8">
        <f t="shared" si="15"/>
        <v>43658.208333333328</v>
      </c>
      <c r="P495" s="5">
        <f>_xlfn.DAYS(Table2[[#This Row],[Date Ended Conversion]],Table2[[#This Row],[Date Created Conversion]])+1</f>
        <v>14</v>
      </c>
      <c r="Q495" t="b">
        <v>0</v>
      </c>
      <c r="R495" t="b">
        <v>0</v>
      </c>
      <c r="S495" t="s">
        <v>122</v>
      </c>
      <c r="T495" t="str">
        <f>_xlfn.TEXTBEFORE(Table2[[#This Row],[category &amp; sub-category]],"/")</f>
        <v>photography</v>
      </c>
      <c r="U495" t="str">
        <f>_xlfn.TEXTAFTER(Table2[[#This Row],[category &amp; sub-category]],"/")</f>
        <v>photography books</v>
      </c>
    </row>
    <row r="496" spans="1:21" ht="17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5">
        <f>100*Table2[[#This Row],[pledged]]/Table2[[#This Row],[goal]]</f>
        <v>547.36</v>
      </c>
      <c r="G496" t="s">
        <v>20</v>
      </c>
      <c r="H496">
        <v>268</v>
      </c>
      <c r="I496" s="4">
        <f>IF(Table2[[#This Row],[pledged]]&gt;0,Table2[[#This Row],[pledged]]/Table2[[#This Row],[backers_count]],0)</f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8">
        <f t="shared" si="14"/>
        <v>40990.208333333336</v>
      </c>
      <c r="O496" s="8">
        <f t="shared" si="15"/>
        <v>40991.208333333336</v>
      </c>
      <c r="P496" s="5">
        <f>_xlfn.DAYS(Table2[[#This Row],[Date Ended Conversion]],Table2[[#This Row],[Date Created Conversion]])+1</f>
        <v>2</v>
      </c>
      <c r="Q496" t="b">
        <v>0</v>
      </c>
      <c r="R496" t="b">
        <v>0</v>
      </c>
      <c r="S496" t="s">
        <v>65</v>
      </c>
      <c r="T496" t="str">
        <f>_xlfn.TEXTBEFORE(Table2[[#This Row],[category &amp; sub-category]],"/")</f>
        <v>technology</v>
      </c>
      <c r="U496" t="str">
        <f>_xlfn.TEXTAFTER(Table2[[#This Row],[category &amp; sub-category]],"/")</f>
        <v>wearables</v>
      </c>
    </row>
    <row r="497" spans="1:21" ht="17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5">
        <f>100*Table2[[#This Row],[pledged]]/Table2[[#This Row],[goal]]</f>
        <v>414.5</v>
      </c>
      <c r="G497" t="s">
        <v>20</v>
      </c>
      <c r="H497">
        <v>195</v>
      </c>
      <c r="I497" s="4">
        <f>IF(Table2[[#This Row],[pledged]]&gt;0,Table2[[#This Row],[pledged]]/Table2[[#This Row],[backers_count]],0)</f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8">
        <f t="shared" si="14"/>
        <v>41800.208333333336</v>
      </c>
      <c r="O497" s="8">
        <f t="shared" si="15"/>
        <v>41804.208333333336</v>
      </c>
      <c r="P497" s="5">
        <f>_xlfn.DAYS(Table2[[#This Row],[Date Ended Conversion]],Table2[[#This Row],[Date Created Conversion]])+1</f>
        <v>5</v>
      </c>
      <c r="Q497" t="b">
        <v>0</v>
      </c>
      <c r="R497" t="b">
        <v>0</v>
      </c>
      <c r="S497" t="s">
        <v>33</v>
      </c>
      <c r="T497" t="str">
        <f>_xlfn.TEXTBEFORE(Table2[[#This Row],[category &amp; sub-category]],"/")</f>
        <v>theater</v>
      </c>
      <c r="U497" t="str">
        <f>_xlfn.TEXTAFTER(Table2[[#This Row],[category &amp; sub-category]],"/")</f>
        <v>plays</v>
      </c>
    </row>
    <row r="498" spans="1:21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5">
        <f>100*Table2[[#This Row],[pledged]]/Table2[[#This Row],[goal]]</f>
        <v>0.90696409140369971</v>
      </c>
      <c r="G498" t="s">
        <v>14</v>
      </c>
      <c r="H498">
        <v>54</v>
      </c>
      <c r="I498" s="4">
        <f>IF(Table2[[#This Row],[pledged]]&gt;0,Table2[[#This Row],[pledged]]/Table2[[#This Row],[backers_count]],0)</f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8">
        <f t="shared" si="14"/>
        <v>42876.208333333328</v>
      </c>
      <c r="O498" s="8">
        <f t="shared" si="15"/>
        <v>42893.208333333328</v>
      </c>
      <c r="P498" s="5">
        <f>_xlfn.DAYS(Table2[[#This Row],[Date Ended Conversion]],Table2[[#This Row],[Date Created Conversion]])+1</f>
        <v>18</v>
      </c>
      <c r="Q498" t="b">
        <v>0</v>
      </c>
      <c r="R498" t="b">
        <v>0</v>
      </c>
      <c r="S498" t="s">
        <v>71</v>
      </c>
      <c r="T498" t="str">
        <f>_xlfn.TEXTBEFORE(Table2[[#This Row],[category &amp; sub-category]],"/")</f>
        <v>film &amp; video</v>
      </c>
      <c r="U498" t="str">
        <f>_xlfn.TEXTAFTER(Table2[[#This Row],[category &amp; sub-category]],"/")</f>
        <v>animation</v>
      </c>
    </row>
    <row r="499" spans="1:21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5">
        <f>100*Table2[[#This Row],[pledged]]/Table2[[#This Row],[goal]]</f>
        <v>34.173469387755105</v>
      </c>
      <c r="G499" t="s">
        <v>14</v>
      </c>
      <c r="H499">
        <v>120</v>
      </c>
      <c r="I499" s="4">
        <f>IF(Table2[[#This Row],[pledged]]&gt;0,Table2[[#This Row],[pledged]]/Table2[[#This Row],[backers_count]],0)</f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8">
        <f t="shared" si="14"/>
        <v>42724.25</v>
      </c>
      <c r="O499" s="8">
        <f t="shared" si="15"/>
        <v>42724.25</v>
      </c>
      <c r="P499" s="5">
        <f>_xlfn.DAYS(Table2[[#This Row],[Date Ended Conversion]],Table2[[#This Row],[Date Created Conversion]])+1</f>
        <v>1</v>
      </c>
      <c r="Q499" t="b">
        <v>0</v>
      </c>
      <c r="R499" t="b">
        <v>1</v>
      </c>
      <c r="S499" t="s">
        <v>65</v>
      </c>
      <c r="T499" t="str">
        <f>_xlfn.TEXTBEFORE(Table2[[#This Row],[category &amp; sub-category]],"/")</f>
        <v>technology</v>
      </c>
      <c r="U499" t="str">
        <f>_xlfn.TEXTAFTER(Table2[[#This Row],[category &amp; sub-category]],"/")</f>
        <v>wearables</v>
      </c>
    </row>
    <row r="500" spans="1:21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5">
        <f>100*Table2[[#This Row],[pledged]]/Table2[[#This Row],[goal]]</f>
        <v>23.948810754912099</v>
      </c>
      <c r="G500" t="s">
        <v>14</v>
      </c>
      <c r="H500">
        <v>579</v>
      </c>
      <c r="I500" s="4">
        <f>IF(Table2[[#This Row],[pledged]]&gt;0,Table2[[#This Row],[pledged]]/Table2[[#This Row],[backers_count]],0)</f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8">
        <f t="shared" si="14"/>
        <v>42005.25</v>
      </c>
      <c r="O500" s="8">
        <f t="shared" si="15"/>
        <v>42007.25</v>
      </c>
      <c r="P500" s="5">
        <f>_xlfn.DAYS(Table2[[#This Row],[Date Ended Conversion]],Table2[[#This Row],[Date Created Conversion]])+1</f>
        <v>3</v>
      </c>
      <c r="Q500" t="b">
        <v>0</v>
      </c>
      <c r="R500" t="b">
        <v>0</v>
      </c>
      <c r="S500" t="s">
        <v>28</v>
      </c>
      <c r="T500" t="str">
        <f>_xlfn.TEXTBEFORE(Table2[[#This Row],[category &amp; sub-category]],"/")</f>
        <v>technology</v>
      </c>
      <c r="U500" t="str">
        <f>_xlfn.TEXTAFTER(Table2[[#This Row],[category &amp; sub-category]],"/")</f>
        <v>web</v>
      </c>
    </row>
    <row r="501" spans="1:21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5">
        <f>100*Table2[[#This Row],[pledged]]/Table2[[#This Row],[goal]]</f>
        <v>48.072649572649574</v>
      </c>
      <c r="G501" t="s">
        <v>14</v>
      </c>
      <c r="H501">
        <v>2072</v>
      </c>
      <c r="I501" s="4">
        <f>IF(Table2[[#This Row],[pledged]]&gt;0,Table2[[#This Row],[pledged]]/Table2[[#This Row],[backers_count]],0)</f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8">
        <f t="shared" si="14"/>
        <v>42444.208333333328</v>
      </c>
      <c r="O501" s="8">
        <f t="shared" si="15"/>
        <v>42449.208333333328</v>
      </c>
      <c r="P501" s="5">
        <f>_xlfn.DAYS(Table2[[#This Row],[Date Ended Conversion]],Table2[[#This Row],[Date Created Conversion]])+1</f>
        <v>6</v>
      </c>
      <c r="Q501" t="b">
        <v>0</v>
      </c>
      <c r="R501" t="b">
        <v>1</v>
      </c>
      <c r="S501" t="s">
        <v>42</v>
      </c>
      <c r="T501" t="str">
        <f>_xlfn.TEXTBEFORE(Table2[[#This Row],[category &amp; sub-category]],"/")</f>
        <v>film &amp; video</v>
      </c>
      <c r="U501" t="str">
        <f>_xlfn.TEXTAFTER(Table2[[#This Row],[category &amp; sub-category]],"/")</f>
        <v>documentary</v>
      </c>
    </row>
    <row r="502" spans="1:21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5">
        <f>100*Table2[[#This Row],[pledged]]/Table2[[#This Row],[goal]]</f>
        <v>0</v>
      </c>
      <c r="G502" t="s">
        <v>14</v>
      </c>
      <c r="H502">
        <v>0</v>
      </c>
      <c r="I502" s="4">
        <f>IF(Table2[[#This Row],[pledged]]&gt;0,Table2[[#This Row],[pledged]]/Table2[[#This Row],[backers_count]],0)</f>
        <v>0</v>
      </c>
      <c r="J502" t="s">
        <v>21</v>
      </c>
      <c r="K502" t="s">
        <v>22</v>
      </c>
      <c r="L502">
        <v>1367384400</v>
      </c>
      <c r="M502">
        <v>1369803600</v>
      </c>
      <c r="N502" s="8">
        <f t="shared" si="14"/>
        <v>41395.208333333336</v>
      </c>
      <c r="O502" s="8">
        <f t="shared" si="15"/>
        <v>41423.208333333336</v>
      </c>
      <c r="P502" s="5">
        <f>_xlfn.DAYS(Table2[[#This Row],[Date Ended Conversion]],Table2[[#This Row],[Date Created Conversion]])+1</f>
        <v>29</v>
      </c>
      <c r="Q502" t="b">
        <v>0</v>
      </c>
      <c r="R502" t="b">
        <v>1</v>
      </c>
      <c r="S502" t="s">
        <v>33</v>
      </c>
      <c r="T502" t="str">
        <f>_xlfn.TEXTBEFORE(Table2[[#This Row],[category &amp; sub-category]],"/")</f>
        <v>theater</v>
      </c>
      <c r="U502" t="str">
        <f>_xlfn.TEXTAFTER(Table2[[#This Row],[category &amp; sub-category]],"/")</f>
        <v>plays</v>
      </c>
    </row>
    <row r="503" spans="1:21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5">
        <f>100*Table2[[#This Row],[pledged]]/Table2[[#This Row],[goal]]</f>
        <v>70.145182291666671</v>
      </c>
      <c r="G503" t="s">
        <v>14</v>
      </c>
      <c r="H503">
        <v>1796</v>
      </c>
      <c r="I503" s="4">
        <f>IF(Table2[[#This Row],[pledged]]&gt;0,Table2[[#This Row],[pledged]]/Table2[[#This Row],[backers_count]],0)</f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8">
        <f t="shared" si="14"/>
        <v>41345.208333333336</v>
      </c>
      <c r="O503" s="8">
        <f t="shared" si="15"/>
        <v>41347.208333333336</v>
      </c>
      <c r="P503" s="5">
        <f>_xlfn.DAYS(Table2[[#This Row],[Date Ended Conversion]],Table2[[#This Row],[Date Created Conversion]])+1</f>
        <v>3</v>
      </c>
      <c r="Q503" t="b">
        <v>0</v>
      </c>
      <c r="R503" t="b">
        <v>0</v>
      </c>
      <c r="S503" t="s">
        <v>42</v>
      </c>
      <c r="T503" t="str">
        <f>_xlfn.TEXTBEFORE(Table2[[#This Row],[category &amp; sub-category]],"/")</f>
        <v>film &amp; video</v>
      </c>
      <c r="U503" t="str">
        <f>_xlfn.TEXTAFTER(Table2[[#This Row],[category &amp; sub-category]],"/")</f>
        <v>documentary</v>
      </c>
    </row>
    <row r="504" spans="1:21" ht="17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5">
        <f>100*Table2[[#This Row],[pledged]]/Table2[[#This Row],[goal]]</f>
        <v>529.92307692307691</v>
      </c>
      <c r="G504" t="s">
        <v>20</v>
      </c>
      <c r="H504">
        <v>186</v>
      </c>
      <c r="I504" s="4">
        <f>IF(Table2[[#This Row],[pledged]]&gt;0,Table2[[#This Row],[pledged]]/Table2[[#This Row],[backers_count]],0)</f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8">
        <f t="shared" si="14"/>
        <v>41117.208333333336</v>
      </c>
      <c r="O504" s="8">
        <f t="shared" si="15"/>
        <v>41146.208333333336</v>
      </c>
      <c r="P504" s="5">
        <f>_xlfn.DAYS(Table2[[#This Row],[Date Ended Conversion]],Table2[[#This Row],[Date Created Conversion]])+1</f>
        <v>30</v>
      </c>
      <c r="Q504" t="b">
        <v>0</v>
      </c>
      <c r="R504" t="b">
        <v>1</v>
      </c>
      <c r="S504" t="s">
        <v>89</v>
      </c>
      <c r="T504" t="str">
        <f>_xlfn.TEXTBEFORE(Table2[[#This Row],[category &amp; sub-category]],"/")</f>
        <v>games</v>
      </c>
      <c r="U504" t="str">
        <f>_xlfn.TEXTAFTER(Table2[[#This Row],[category &amp; sub-category]],"/")</f>
        <v>video games</v>
      </c>
    </row>
    <row r="505" spans="1:21" ht="34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5">
        <f>100*Table2[[#This Row],[pledged]]/Table2[[#This Row],[goal]]</f>
        <v>180.32549019607842</v>
      </c>
      <c r="G505" t="s">
        <v>20</v>
      </c>
      <c r="H505">
        <v>460</v>
      </c>
      <c r="I505" s="4">
        <f>IF(Table2[[#This Row],[pledged]]&gt;0,Table2[[#This Row],[pledged]]/Table2[[#This Row],[backers_count]],0)</f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8">
        <f t="shared" si="14"/>
        <v>42186.208333333328</v>
      </c>
      <c r="O505" s="8">
        <f t="shared" si="15"/>
        <v>42206.208333333328</v>
      </c>
      <c r="P505" s="5">
        <f>_xlfn.DAYS(Table2[[#This Row],[Date Ended Conversion]],Table2[[#This Row],[Date Created Conversion]])+1</f>
        <v>21</v>
      </c>
      <c r="Q505" t="b">
        <v>0</v>
      </c>
      <c r="R505" t="b">
        <v>0</v>
      </c>
      <c r="S505" t="s">
        <v>53</v>
      </c>
      <c r="T505" t="str">
        <f>_xlfn.TEXTBEFORE(Table2[[#This Row],[category &amp; sub-category]],"/")</f>
        <v>film &amp; video</v>
      </c>
      <c r="U505" t="str">
        <f>_xlfn.TEXTAFTER(Table2[[#This Row],[category &amp; sub-category]],"/")</f>
        <v>drama</v>
      </c>
    </row>
    <row r="506" spans="1:21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5">
        <f>100*Table2[[#This Row],[pledged]]/Table2[[#This Row],[goal]]</f>
        <v>92.32</v>
      </c>
      <c r="G506" t="s">
        <v>14</v>
      </c>
      <c r="H506">
        <v>62</v>
      </c>
      <c r="I506" s="4">
        <f>IF(Table2[[#This Row],[pledged]]&gt;0,Table2[[#This Row],[pledged]]/Table2[[#This Row],[backers_count]],0)</f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8">
        <f t="shared" si="14"/>
        <v>42142.208333333328</v>
      </c>
      <c r="O506" s="8">
        <f t="shared" si="15"/>
        <v>42143.208333333328</v>
      </c>
      <c r="P506" s="5">
        <f>_xlfn.DAYS(Table2[[#This Row],[Date Ended Conversion]],Table2[[#This Row],[Date Created Conversion]])+1</f>
        <v>2</v>
      </c>
      <c r="Q506" t="b">
        <v>0</v>
      </c>
      <c r="R506" t="b">
        <v>0</v>
      </c>
      <c r="S506" t="s">
        <v>23</v>
      </c>
      <c r="T506" t="str">
        <f>_xlfn.TEXTBEFORE(Table2[[#This Row],[category &amp; sub-category]],"/")</f>
        <v>music</v>
      </c>
      <c r="U506" t="str">
        <f>_xlfn.TEXTAFTER(Table2[[#This Row],[category &amp; sub-category]],"/")</f>
        <v>rock</v>
      </c>
    </row>
    <row r="507" spans="1:21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5">
        <f>100*Table2[[#This Row],[pledged]]/Table2[[#This Row],[goal]]</f>
        <v>13.901001112347052</v>
      </c>
      <c r="G507" t="s">
        <v>14</v>
      </c>
      <c r="H507">
        <v>347</v>
      </c>
      <c r="I507" s="4">
        <f>IF(Table2[[#This Row],[pledged]]&gt;0,Table2[[#This Row],[pledged]]/Table2[[#This Row],[backers_count]],0)</f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8">
        <f t="shared" si="14"/>
        <v>41341.25</v>
      </c>
      <c r="O507" s="8">
        <f t="shared" si="15"/>
        <v>41383.208333333336</v>
      </c>
      <c r="P507" s="5">
        <f>_xlfn.DAYS(Table2[[#This Row],[Date Ended Conversion]],Table2[[#This Row],[Date Created Conversion]])+1</f>
        <v>43</v>
      </c>
      <c r="Q507" t="b">
        <v>0</v>
      </c>
      <c r="R507" t="b">
        <v>1</v>
      </c>
      <c r="S507" t="s">
        <v>133</v>
      </c>
      <c r="T507" t="str">
        <f>_xlfn.TEXTBEFORE(Table2[[#This Row],[category &amp; sub-category]],"/")</f>
        <v>publishing</v>
      </c>
      <c r="U507" t="str">
        <f>_xlfn.TEXTAFTER(Table2[[#This Row],[category &amp; sub-category]],"/")</f>
        <v>radio &amp; podcasts</v>
      </c>
    </row>
    <row r="508" spans="1:21" ht="17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5">
        <f>100*Table2[[#This Row],[pledged]]/Table2[[#This Row],[goal]]</f>
        <v>927.07777777777778</v>
      </c>
      <c r="G508" t="s">
        <v>20</v>
      </c>
      <c r="H508">
        <v>2528</v>
      </c>
      <c r="I508" s="4">
        <f>IF(Table2[[#This Row],[pledged]]&gt;0,Table2[[#This Row],[pledged]]/Table2[[#This Row],[backers_count]],0)</f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8">
        <f t="shared" si="14"/>
        <v>43062.25</v>
      </c>
      <c r="O508" s="8">
        <f t="shared" si="15"/>
        <v>43079.25</v>
      </c>
      <c r="P508" s="5">
        <f>_xlfn.DAYS(Table2[[#This Row],[Date Ended Conversion]],Table2[[#This Row],[Date Created Conversion]])+1</f>
        <v>18</v>
      </c>
      <c r="Q508" t="b">
        <v>0</v>
      </c>
      <c r="R508" t="b">
        <v>1</v>
      </c>
      <c r="S508" t="s">
        <v>33</v>
      </c>
      <c r="T508" t="str">
        <f>_xlfn.TEXTBEFORE(Table2[[#This Row],[category &amp; sub-category]],"/")</f>
        <v>theater</v>
      </c>
      <c r="U508" t="str">
        <f>_xlfn.TEXTAFTER(Table2[[#This Row],[category &amp; sub-category]],"/")</f>
        <v>plays</v>
      </c>
    </row>
    <row r="509" spans="1:21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5">
        <f>100*Table2[[#This Row],[pledged]]/Table2[[#This Row],[goal]]</f>
        <v>39.857142857142854</v>
      </c>
      <c r="G509" t="s">
        <v>14</v>
      </c>
      <c r="H509">
        <v>19</v>
      </c>
      <c r="I509" s="4">
        <f>IF(Table2[[#This Row],[pledged]]&gt;0,Table2[[#This Row],[pledged]]/Table2[[#This Row],[backers_count]],0)</f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8">
        <f t="shared" si="14"/>
        <v>41373.208333333336</v>
      </c>
      <c r="O509" s="8">
        <f t="shared" si="15"/>
        <v>41422.208333333336</v>
      </c>
      <c r="P509" s="5">
        <f>_xlfn.DAYS(Table2[[#This Row],[Date Ended Conversion]],Table2[[#This Row],[Date Created Conversion]])+1</f>
        <v>50</v>
      </c>
      <c r="Q509" t="b">
        <v>0</v>
      </c>
      <c r="R509" t="b">
        <v>1</v>
      </c>
      <c r="S509" t="s">
        <v>28</v>
      </c>
      <c r="T509" t="str">
        <f>_xlfn.TEXTBEFORE(Table2[[#This Row],[category &amp; sub-category]],"/")</f>
        <v>technology</v>
      </c>
      <c r="U509" t="str">
        <f>_xlfn.TEXTAFTER(Table2[[#This Row],[category &amp; sub-category]],"/")</f>
        <v>web</v>
      </c>
    </row>
    <row r="510" spans="1:21" ht="17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5">
        <f>100*Table2[[#This Row],[pledged]]/Table2[[#This Row],[goal]]</f>
        <v>112.22929936305732</v>
      </c>
      <c r="G510" t="s">
        <v>20</v>
      </c>
      <c r="H510">
        <v>3657</v>
      </c>
      <c r="I510" s="4">
        <f>IF(Table2[[#This Row],[pledged]]&gt;0,Table2[[#This Row],[pledged]]/Table2[[#This Row],[backers_count]],0)</f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8">
        <f t="shared" si="14"/>
        <v>43310.208333333328</v>
      </c>
      <c r="O510" s="8">
        <f t="shared" si="15"/>
        <v>43331.208333333328</v>
      </c>
      <c r="P510" s="5">
        <f>_xlfn.DAYS(Table2[[#This Row],[Date Ended Conversion]],Table2[[#This Row],[Date Created Conversion]])+1</f>
        <v>22</v>
      </c>
      <c r="Q510" t="b">
        <v>0</v>
      </c>
      <c r="R510" t="b">
        <v>0</v>
      </c>
      <c r="S510" t="s">
        <v>33</v>
      </c>
      <c r="T510" t="str">
        <f>_xlfn.TEXTBEFORE(Table2[[#This Row],[category &amp; sub-category]],"/")</f>
        <v>theater</v>
      </c>
      <c r="U510" t="str">
        <f>_xlfn.TEXTAFTER(Table2[[#This Row],[category &amp; sub-category]],"/")</f>
        <v>plays</v>
      </c>
    </row>
    <row r="511" spans="1:21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5">
        <f>100*Table2[[#This Row],[pledged]]/Table2[[#This Row],[goal]]</f>
        <v>70.925816023738875</v>
      </c>
      <c r="G511" t="s">
        <v>14</v>
      </c>
      <c r="H511">
        <v>1258</v>
      </c>
      <c r="I511" s="4">
        <f>IF(Table2[[#This Row],[pledged]]&gt;0,Table2[[#This Row],[pledged]]/Table2[[#This Row],[backers_count]],0)</f>
        <v>95</v>
      </c>
      <c r="J511" t="s">
        <v>21</v>
      </c>
      <c r="K511" t="s">
        <v>22</v>
      </c>
      <c r="L511">
        <v>1336194000</v>
      </c>
      <c r="M511">
        <v>1337058000</v>
      </c>
      <c r="N511" s="8">
        <f t="shared" si="14"/>
        <v>41034.208333333336</v>
      </c>
      <c r="O511" s="8">
        <f t="shared" si="15"/>
        <v>41044.208333333336</v>
      </c>
      <c r="P511" s="5">
        <f>_xlfn.DAYS(Table2[[#This Row],[Date Ended Conversion]],Table2[[#This Row],[Date Created Conversion]])+1</f>
        <v>11</v>
      </c>
      <c r="Q511" t="b">
        <v>0</v>
      </c>
      <c r="R511" t="b">
        <v>0</v>
      </c>
      <c r="S511" t="s">
        <v>33</v>
      </c>
      <c r="T511" t="str">
        <f>_xlfn.TEXTBEFORE(Table2[[#This Row],[category &amp; sub-category]],"/")</f>
        <v>theater</v>
      </c>
      <c r="U511" t="str">
        <f>_xlfn.TEXTAFTER(Table2[[#This Row],[category &amp; sub-category]],"/")</f>
        <v>plays</v>
      </c>
    </row>
    <row r="512" spans="1:21" ht="17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5">
        <f>100*Table2[[#This Row],[pledged]]/Table2[[#This Row],[goal]]</f>
        <v>119.08974358974359</v>
      </c>
      <c r="G512" t="s">
        <v>20</v>
      </c>
      <c r="H512">
        <v>131</v>
      </c>
      <c r="I512" s="4">
        <f>IF(Table2[[#This Row],[pledged]]&gt;0,Table2[[#This Row],[pledged]]/Table2[[#This Row],[backers_count]],0)</f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8">
        <f t="shared" si="14"/>
        <v>43251.208333333328</v>
      </c>
      <c r="O512" s="8">
        <f t="shared" si="15"/>
        <v>43275.208333333328</v>
      </c>
      <c r="P512" s="5">
        <f>_xlfn.DAYS(Table2[[#This Row],[Date Ended Conversion]],Table2[[#This Row],[Date Created Conversion]])+1</f>
        <v>25</v>
      </c>
      <c r="Q512" t="b">
        <v>0</v>
      </c>
      <c r="R512" t="b">
        <v>0</v>
      </c>
      <c r="S512" t="s">
        <v>53</v>
      </c>
      <c r="T512" t="str">
        <f>_xlfn.TEXTBEFORE(Table2[[#This Row],[category &amp; sub-category]],"/")</f>
        <v>film &amp; video</v>
      </c>
      <c r="U512" t="str">
        <f>_xlfn.TEXTAFTER(Table2[[#This Row],[category &amp; sub-category]],"/")</f>
        <v>drama</v>
      </c>
    </row>
    <row r="513" spans="1:21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5">
        <f>100*Table2[[#This Row],[pledged]]/Table2[[#This Row],[goal]]</f>
        <v>24.017591339648174</v>
      </c>
      <c r="G513" t="s">
        <v>14</v>
      </c>
      <c r="H513">
        <v>362</v>
      </c>
      <c r="I513" s="4">
        <f>IF(Table2[[#This Row],[pledged]]&gt;0,Table2[[#This Row],[pledged]]/Table2[[#This Row],[backers_count]],0)</f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8">
        <f t="shared" si="14"/>
        <v>43671.208333333328</v>
      </c>
      <c r="O513" s="8">
        <f t="shared" si="15"/>
        <v>43681.208333333328</v>
      </c>
      <c r="P513" s="5">
        <f>_xlfn.DAYS(Table2[[#This Row],[Date Ended Conversion]],Table2[[#This Row],[Date Created Conversion]])+1</f>
        <v>11</v>
      </c>
      <c r="Q513" t="b">
        <v>0</v>
      </c>
      <c r="R513" t="b">
        <v>0</v>
      </c>
      <c r="S513" t="s">
        <v>33</v>
      </c>
      <c r="T513" t="str">
        <f>_xlfn.TEXTBEFORE(Table2[[#This Row],[category &amp; sub-category]],"/")</f>
        <v>theater</v>
      </c>
      <c r="U513" t="str">
        <f>_xlfn.TEXTAFTER(Table2[[#This Row],[category &amp; sub-category]],"/")</f>
        <v>plays</v>
      </c>
    </row>
    <row r="514" spans="1:21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5">
        <f>100*Table2[[#This Row],[pledged]]/Table2[[#This Row],[goal]]</f>
        <v>139.31868131868131</v>
      </c>
      <c r="G514" t="s">
        <v>20</v>
      </c>
      <c r="H514">
        <v>239</v>
      </c>
      <c r="I514" s="4">
        <f>IF(Table2[[#This Row],[pledged]]&gt;0,Table2[[#This Row],[pledged]]/Table2[[#This Row],[backers_count]],0)</f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8">
        <f t="shared" ref="N514:N577" si="16">(((L514/60)/60)/24)+DATE(1970,1,1)</f>
        <v>41825.208333333336</v>
      </c>
      <c r="O514" s="8">
        <f t="shared" ref="O514:O577" si="17">(((M514/60)/60)/24)+DATE(1970,1,1)</f>
        <v>41826.208333333336</v>
      </c>
      <c r="P514" s="5">
        <f>_xlfn.DAYS(Table2[[#This Row],[Date Ended Conversion]],Table2[[#This Row],[Date Created Conversion]])+1</f>
        <v>2</v>
      </c>
      <c r="Q514" t="b">
        <v>0</v>
      </c>
      <c r="R514" t="b">
        <v>1</v>
      </c>
      <c r="S514" t="s">
        <v>89</v>
      </c>
      <c r="T514" t="str">
        <f>_xlfn.TEXTBEFORE(Table2[[#This Row],[category &amp; sub-category]],"/")</f>
        <v>games</v>
      </c>
      <c r="U514" t="str">
        <f>_xlfn.TEXTAFTER(Table2[[#This Row],[category &amp; sub-category]],"/")</f>
        <v>video games</v>
      </c>
    </row>
    <row r="515" spans="1:21" ht="17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5">
        <f>100*Table2[[#This Row],[pledged]]/Table2[[#This Row],[goal]]</f>
        <v>39.277108433734938</v>
      </c>
      <c r="G515" t="s">
        <v>74</v>
      </c>
      <c r="H515">
        <v>35</v>
      </c>
      <c r="I515" s="4">
        <f>IF(Table2[[#This Row],[pledged]]&gt;0,Table2[[#This Row],[pledged]]/Table2[[#This Row],[backers_count]],0)</f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8">
        <f t="shared" si="16"/>
        <v>40430.208333333336</v>
      </c>
      <c r="O515" s="8">
        <f t="shared" si="17"/>
        <v>40432.208333333336</v>
      </c>
      <c r="P515" s="5">
        <f>_xlfn.DAYS(Table2[[#This Row],[Date Ended Conversion]],Table2[[#This Row],[Date Created Conversion]])+1</f>
        <v>3</v>
      </c>
      <c r="Q515" t="b">
        <v>0</v>
      </c>
      <c r="R515" t="b">
        <v>0</v>
      </c>
      <c r="S515" t="s">
        <v>269</v>
      </c>
      <c r="T515" t="str">
        <f>_xlfn.TEXTBEFORE(Table2[[#This Row],[category &amp; sub-category]],"/")</f>
        <v>film &amp; video</v>
      </c>
      <c r="U515" t="str">
        <f>_xlfn.TEXTAFTER(Table2[[#This Row],[category &amp; sub-category]],"/")</f>
        <v>television</v>
      </c>
    </row>
    <row r="516" spans="1:21" ht="17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5">
        <f>100*Table2[[#This Row],[pledged]]/Table2[[#This Row],[goal]]</f>
        <v>22.439077144917086</v>
      </c>
      <c r="G516" t="s">
        <v>74</v>
      </c>
      <c r="H516">
        <v>528</v>
      </c>
      <c r="I516" s="4">
        <f>IF(Table2[[#This Row],[pledged]]&gt;0,Table2[[#This Row],[pledged]]/Table2[[#This Row],[backers_count]],0)</f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8">
        <f t="shared" si="16"/>
        <v>41614.25</v>
      </c>
      <c r="O516" s="8">
        <f t="shared" si="17"/>
        <v>41619.25</v>
      </c>
      <c r="P516" s="5">
        <f>_xlfn.DAYS(Table2[[#This Row],[Date Ended Conversion]],Table2[[#This Row],[Date Created Conversion]])+1</f>
        <v>6</v>
      </c>
      <c r="Q516" t="b">
        <v>0</v>
      </c>
      <c r="R516" t="b">
        <v>1</v>
      </c>
      <c r="S516" t="s">
        <v>23</v>
      </c>
      <c r="T516" t="str">
        <f>_xlfn.TEXTBEFORE(Table2[[#This Row],[category &amp; sub-category]],"/")</f>
        <v>music</v>
      </c>
      <c r="U516" t="str">
        <f>_xlfn.TEXTAFTER(Table2[[#This Row],[category &amp; sub-category]],"/")</f>
        <v>rock</v>
      </c>
    </row>
    <row r="517" spans="1:21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5">
        <f>100*Table2[[#This Row],[pledged]]/Table2[[#This Row],[goal]]</f>
        <v>55.779069767441861</v>
      </c>
      <c r="G517" t="s">
        <v>14</v>
      </c>
      <c r="H517">
        <v>133</v>
      </c>
      <c r="I517" s="4">
        <f>IF(Table2[[#This Row],[pledged]]&gt;0,Table2[[#This Row],[pledged]]/Table2[[#This Row],[backers_count]],0)</f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8">
        <f t="shared" si="16"/>
        <v>40900.25</v>
      </c>
      <c r="O517" s="8">
        <f t="shared" si="17"/>
        <v>40902.25</v>
      </c>
      <c r="P517" s="5">
        <f>_xlfn.DAYS(Table2[[#This Row],[Date Ended Conversion]],Table2[[#This Row],[Date Created Conversion]])+1</f>
        <v>3</v>
      </c>
      <c r="Q517" t="b">
        <v>0</v>
      </c>
      <c r="R517" t="b">
        <v>1</v>
      </c>
      <c r="S517" t="s">
        <v>33</v>
      </c>
      <c r="T517" t="str">
        <f>_xlfn.TEXTBEFORE(Table2[[#This Row],[category &amp; sub-category]],"/")</f>
        <v>theater</v>
      </c>
      <c r="U517" t="str">
        <f>_xlfn.TEXTAFTER(Table2[[#This Row],[category &amp; sub-category]],"/")</f>
        <v>plays</v>
      </c>
    </row>
    <row r="518" spans="1:21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5">
        <f>100*Table2[[#This Row],[pledged]]/Table2[[#This Row],[goal]]</f>
        <v>42.523125996810208</v>
      </c>
      <c r="G518" t="s">
        <v>14</v>
      </c>
      <c r="H518">
        <v>846</v>
      </c>
      <c r="I518" s="4">
        <f>IF(Table2[[#This Row],[pledged]]&gt;0,Table2[[#This Row],[pledged]]/Table2[[#This Row],[backers_count]],0)</f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8">
        <f t="shared" si="16"/>
        <v>40396.208333333336</v>
      </c>
      <c r="O518" s="8">
        <f t="shared" si="17"/>
        <v>40434.208333333336</v>
      </c>
      <c r="P518" s="5">
        <f>_xlfn.DAYS(Table2[[#This Row],[Date Ended Conversion]],Table2[[#This Row],[Date Created Conversion]])+1</f>
        <v>39</v>
      </c>
      <c r="Q518" t="b">
        <v>0</v>
      </c>
      <c r="R518" t="b">
        <v>0</v>
      </c>
      <c r="S518" t="s">
        <v>68</v>
      </c>
      <c r="T518" t="str">
        <f>_xlfn.TEXTBEFORE(Table2[[#This Row],[category &amp; sub-category]],"/")</f>
        <v>publishing</v>
      </c>
      <c r="U518" t="str">
        <f>_xlfn.TEXTAFTER(Table2[[#This Row],[category &amp; sub-category]],"/")</f>
        <v>nonfiction</v>
      </c>
    </row>
    <row r="519" spans="1:21" ht="17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5">
        <f>100*Table2[[#This Row],[pledged]]/Table2[[#This Row],[goal]]</f>
        <v>112</v>
      </c>
      <c r="G519" t="s">
        <v>20</v>
      </c>
      <c r="H519">
        <v>78</v>
      </c>
      <c r="I519" s="4">
        <f>IF(Table2[[#This Row],[pledged]]&gt;0,Table2[[#This Row],[pledged]]/Table2[[#This Row],[backers_count]],0)</f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8">
        <f t="shared" si="16"/>
        <v>42860.208333333328</v>
      </c>
      <c r="O519" s="8">
        <f t="shared" si="17"/>
        <v>42865.208333333328</v>
      </c>
      <c r="P519" s="5">
        <f>_xlfn.DAYS(Table2[[#This Row],[Date Ended Conversion]],Table2[[#This Row],[Date Created Conversion]])+1</f>
        <v>6</v>
      </c>
      <c r="Q519" t="b">
        <v>0</v>
      </c>
      <c r="R519" t="b">
        <v>0</v>
      </c>
      <c r="S519" t="s">
        <v>17</v>
      </c>
      <c r="T519" t="str">
        <f>_xlfn.TEXTBEFORE(Table2[[#This Row],[category &amp; sub-category]],"/")</f>
        <v>food</v>
      </c>
      <c r="U519" t="str">
        <f>_xlfn.TEXTAFTER(Table2[[#This Row],[category &amp; sub-category]],"/")</f>
        <v>food trucks</v>
      </c>
    </row>
    <row r="520" spans="1:21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5">
        <f>100*Table2[[#This Row],[pledged]]/Table2[[#This Row],[goal]]</f>
        <v>7.0681818181818183</v>
      </c>
      <c r="G520" t="s">
        <v>14</v>
      </c>
      <c r="H520">
        <v>10</v>
      </c>
      <c r="I520" s="4">
        <f>IF(Table2[[#This Row],[pledged]]&gt;0,Table2[[#This Row],[pledged]]/Table2[[#This Row],[backers_count]],0)</f>
        <v>62.2</v>
      </c>
      <c r="J520" t="s">
        <v>21</v>
      </c>
      <c r="K520" t="s">
        <v>22</v>
      </c>
      <c r="L520">
        <v>1519365600</v>
      </c>
      <c r="M520">
        <v>1519538400</v>
      </c>
      <c r="N520" s="8">
        <f t="shared" si="16"/>
        <v>43154.25</v>
      </c>
      <c r="O520" s="8">
        <f t="shared" si="17"/>
        <v>43156.25</v>
      </c>
      <c r="P520" s="5">
        <f>_xlfn.DAYS(Table2[[#This Row],[Date Ended Conversion]],Table2[[#This Row],[Date Created Conversion]])+1</f>
        <v>3</v>
      </c>
      <c r="Q520" t="b">
        <v>0</v>
      </c>
      <c r="R520" t="b">
        <v>1</v>
      </c>
      <c r="S520" t="s">
        <v>71</v>
      </c>
      <c r="T520" t="str">
        <f>_xlfn.TEXTBEFORE(Table2[[#This Row],[category &amp; sub-category]],"/")</f>
        <v>film &amp; video</v>
      </c>
      <c r="U520" t="str">
        <f>_xlfn.TEXTAFTER(Table2[[#This Row],[category &amp; sub-category]],"/")</f>
        <v>animation</v>
      </c>
    </row>
    <row r="521" spans="1:21" ht="17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5">
        <f>100*Table2[[#This Row],[pledged]]/Table2[[#This Row],[goal]]</f>
        <v>101.74563871693866</v>
      </c>
      <c r="G521" t="s">
        <v>20</v>
      </c>
      <c r="H521">
        <v>1773</v>
      </c>
      <c r="I521" s="4">
        <f>IF(Table2[[#This Row],[pledged]]&gt;0,Table2[[#This Row],[pledged]]/Table2[[#This Row],[backers_count]],0)</f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8">
        <f t="shared" si="16"/>
        <v>42012.25</v>
      </c>
      <c r="O521" s="8">
        <f t="shared" si="17"/>
        <v>42026.25</v>
      </c>
      <c r="P521" s="5">
        <f>_xlfn.DAYS(Table2[[#This Row],[Date Ended Conversion]],Table2[[#This Row],[Date Created Conversion]])+1</f>
        <v>15</v>
      </c>
      <c r="Q521" t="b">
        <v>0</v>
      </c>
      <c r="R521" t="b">
        <v>1</v>
      </c>
      <c r="S521" t="s">
        <v>23</v>
      </c>
      <c r="T521" t="str">
        <f>_xlfn.TEXTBEFORE(Table2[[#This Row],[category &amp; sub-category]],"/")</f>
        <v>music</v>
      </c>
      <c r="U521" t="str">
        <f>_xlfn.TEXTAFTER(Table2[[#This Row],[category &amp; sub-category]],"/")</f>
        <v>rock</v>
      </c>
    </row>
    <row r="522" spans="1:21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5">
        <f>100*Table2[[#This Row],[pledged]]/Table2[[#This Row],[goal]]</f>
        <v>425.75</v>
      </c>
      <c r="G522" t="s">
        <v>20</v>
      </c>
      <c r="H522">
        <v>32</v>
      </c>
      <c r="I522" s="4">
        <f>IF(Table2[[#This Row],[pledged]]&gt;0,Table2[[#This Row],[pledged]]/Table2[[#This Row],[backers_count]],0)</f>
        <v>106.4375</v>
      </c>
      <c r="J522" t="s">
        <v>21</v>
      </c>
      <c r="K522" t="s">
        <v>22</v>
      </c>
      <c r="L522">
        <v>1555650000</v>
      </c>
      <c r="M522">
        <v>1555909200</v>
      </c>
      <c r="N522" s="8">
        <f t="shared" si="16"/>
        <v>43574.208333333328</v>
      </c>
      <c r="O522" s="8">
        <f t="shared" si="17"/>
        <v>43577.208333333328</v>
      </c>
      <c r="P522" s="5">
        <f>_xlfn.DAYS(Table2[[#This Row],[Date Ended Conversion]],Table2[[#This Row],[Date Created Conversion]])+1</f>
        <v>4</v>
      </c>
      <c r="Q522" t="b">
        <v>0</v>
      </c>
      <c r="R522" t="b">
        <v>0</v>
      </c>
      <c r="S522" t="s">
        <v>33</v>
      </c>
      <c r="T522" t="str">
        <f>_xlfn.TEXTBEFORE(Table2[[#This Row],[category &amp; sub-category]],"/")</f>
        <v>theater</v>
      </c>
      <c r="U522" t="str">
        <f>_xlfn.TEXTAFTER(Table2[[#This Row],[category &amp; sub-category]],"/")</f>
        <v>plays</v>
      </c>
    </row>
    <row r="523" spans="1:21" ht="17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5">
        <f>100*Table2[[#This Row],[pledged]]/Table2[[#This Row],[goal]]</f>
        <v>145.53947368421052</v>
      </c>
      <c r="G523" t="s">
        <v>20</v>
      </c>
      <c r="H523">
        <v>369</v>
      </c>
      <c r="I523" s="4">
        <f>IF(Table2[[#This Row],[pledged]]&gt;0,Table2[[#This Row],[pledged]]/Table2[[#This Row],[backers_count]],0)</f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8">
        <f t="shared" si="16"/>
        <v>42605.208333333328</v>
      </c>
      <c r="O523" s="8">
        <f t="shared" si="17"/>
        <v>42611.208333333328</v>
      </c>
      <c r="P523" s="5">
        <f>_xlfn.DAYS(Table2[[#This Row],[Date Ended Conversion]],Table2[[#This Row],[Date Created Conversion]])+1</f>
        <v>7</v>
      </c>
      <c r="Q523" t="b">
        <v>0</v>
      </c>
      <c r="R523" t="b">
        <v>1</v>
      </c>
      <c r="S523" t="s">
        <v>53</v>
      </c>
      <c r="T523" t="str">
        <f>_xlfn.TEXTBEFORE(Table2[[#This Row],[category &amp; sub-category]],"/")</f>
        <v>film &amp; video</v>
      </c>
      <c r="U523" t="str">
        <f>_xlfn.TEXTAFTER(Table2[[#This Row],[category &amp; sub-category]],"/")</f>
        <v>drama</v>
      </c>
    </row>
    <row r="524" spans="1:21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5">
        <f>100*Table2[[#This Row],[pledged]]/Table2[[#This Row],[goal]]</f>
        <v>32.453465346534657</v>
      </c>
      <c r="G524" t="s">
        <v>14</v>
      </c>
      <c r="H524">
        <v>191</v>
      </c>
      <c r="I524" s="4">
        <f>IF(Table2[[#This Row],[pledged]]&gt;0,Table2[[#This Row],[pledged]]/Table2[[#This Row],[backers_count]],0)</f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8">
        <f t="shared" si="16"/>
        <v>41093.208333333336</v>
      </c>
      <c r="O524" s="8">
        <f t="shared" si="17"/>
        <v>41105.208333333336</v>
      </c>
      <c r="P524" s="5">
        <f>_xlfn.DAYS(Table2[[#This Row],[Date Ended Conversion]],Table2[[#This Row],[Date Created Conversion]])+1</f>
        <v>13</v>
      </c>
      <c r="Q524" t="b">
        <v>0</v>
      </c>
      <c r="R524" t="b">
        <v>0</v>
      </c>
      <c r="S524" t="s">
        <v>100</v>
      </c>
      <c r="T524" t="str">
        <f>_xlfn.TEXTBEFORE(Table2[[#This Row],[category &amp; sub-category]],"/")</f>
        <v>film &amp; video</v>
      </c>
      <c r="U524" t="str">
        <f>_xlfn.TEXTAFTER(Table2[[#This Row],[category &amp; sub-category]],"/")</f>
        <v>shorts</v>
      </c>
    </row>
    <row r="525" spans="1:21" ht="17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5">
        <f>100*Table2[[#This Row],[pledged]]/Table2[[#This Row],[goal]]</f>
        <v>700.33333333333337</v>
      </c>
      <c r="G525" t="s">
        <v>20</v>
      </c>
      <c r="H525">
        <v>89</v>
      </c>
      <c r="I525" s="4">
        <f>IF(Table2[[#This Row],[pledged]]&gt;0,Table2[[#This Row],[pledged]]/Table2[[#This Row],[backers_count]],0)</f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8">
        <f t="shared" si="16"/>
        <v>40241.25</v>
      </c>
      <c r="O525" s="8">
        <f t="shared" si="17"/>
        <v>40246.25</v>
      </c>
      <c r="P525" s="5">
        <f>_xlfn.DAYS(Table2[[#This Row],[Date Ended Conversion]],Table2[[#This Row],[Date Created Conversion]])+1</f>
        <v>6</v>
      </c>
      <c r="Q525" t="b">
        <v>0</v>
      </c>
      <c r="R525" t="b">
        <v>0</v>
      </c>
      <c r="S525" t="s">
        <v>100</v>
      </c>
      <c r="T525" t="str">
        <f>_xlfn.TEXTBEFORE(Table2[[#This Row],[category &amp; sub-category]],"/")</f>
        <v>film &amp; video</v>
      </c>
      <c r="U525" t="str">
        <f>_xlfn.TEXTAFTER(Table2[[#This Row],[category &amp; sub-category]],"/")</f>
        <v>shorts</v>
      </c>
    </row>
    <row r="526" spans="1:21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5">
        <f>100*Table2[[#This Row],[pledged]]/Table2[[#This Row],[goal]]</f>
        <v>83.904860392967947</v>
      </c>
      <c r="G526" t="s">
        <v>14</v>
      </c>
      <c r="H526">
        <v>1979</v>
      </c>
      <c r="I526" s="4">
        <f>IF(Table2[[#This Row],[pledged]]&gt;0,Table2[[#This Row],[pledged]]/Table2[[#This Row],[backers_count]],0)</f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8">
        <f t="shared" si="16"/>
        <v>40294.208333333336</v>
      </c>
      <c r="O526" s="8">
        <f t="shared" si="17"/>
        <v>40307.208333333336</v>
      </c>
      <c r="P526" s="5">
        <f>_xlfn.DAYS(Table2[[#This Row],[Date Ended Conversion]],Table2[[#This Row],[Date Created Conversion]])+1</f>
        <v>14</v>
      </c>
      <c r="Q526" t="b">
        <v>0</v>
      </c>
      <c r="R526" t="b">
        <v>0</v>
      </c>
      <c r="S526" t="s">
        <v>33</v>
      </c>
      <c r="T526" t="str">
        <f>_xlfn.TEXTBEFORE(Table2[[#This Row],[category &amp; sub-category]],"/")</f>
        <v>theater</v>
      </c>
      <c r="U526" t="str">
        <f>_xlfn.TEXTAFTER(Table2[[#This Row],[category &amp; sub-category]],"/")</f>
        <v>plays</v>
      </c>
    </row>
    <row r="527" spans="1:21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5">
        <f>100*Table2[[#This Row],[pledged]]/Table2[[#This Row],[goal]]</f>
        <v>84.19047619047619</v>
      </c>
      <c r="G527" t="s">
        <v>14</v>
      </c>
      <c r="H527">
        <v>63</v>
      </c>
      <c r="I527" s="4">
        <f>IF(Table2[[#This Row],[pledged]]&gt;0,Table2[[#This Row],[pledged]]/Table2[[#This Row],[backers_count]],0)</f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8">
        <f t="shared" si="16"/>
        <v>40505.25</v>
      </c>
      <c r="O527" s="8">
        <f t="shared" si="17"/>
        <v>40509.25</v>
      </c>
      <c r="P527" s="5">
        <f>_xlfn.DAYS(Table2[[#This Row],[Date Ended Conversion]],Table2[[#This Row],[Date Created Conversion]])+1</f>
        <v>5</v>
      </c>
      <c r="Q527" t="b">
        <v>0</v>
      </c>
      <c r="R527" t="b">
        <v>0</v>
      </c>
      <c r="S527" t="s">
        <v>65</v>
      </c>
      <c r="T527" t="str">
        <f>_xlfn.TEXTBEFORE(Table2[[#This Row],[category &amp; sub-category]],"/")</f>
        <v>technology</v>
      </c>
      <c r="U527" t="str">
        <f>_xlfn.TEXTAFTER(Table2[[#This Row],[category &amp; sub-category]],"/")</f>
        <v>wearables</v>
      </c>
    </row>
    <row r="528" spans="1:21" ht="34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5">
        <f>100*Table2[[#This Row],[pledged]]/Table2[[#This Row],[goal]]</f>
        <v>155.95180722891567</v>
      </c>
      <c r="G528" t="s">
        <v>20</v>
      </c>
      <c r="H528">
        <v>147</v>
      </c>
      <c r="I528" s="4">
        <f>IF(Table2[[#This Row],[pledged]]&gt;0,Table2[[#This Row],[pledged]]/Table2[[#This Row],[backers_count]],0)</f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8">
        <f t="shared" si="16"/>
        <v>42364.25</v>
      </c>
      <c r="O528" s="8">
        <f t="shared" si="17"/>
        <v>42401.25</v>
      </c>
      <c r="P528" s="5">
        <f>_xlfn.DAYS(Table2[[#This Row],[Date Ended Conversion]],Table2[[#This Row],[Date Created Conversion]])+1</f>
        <v>38</v>
      </c>
      <c r="Q528" t="b">
        <v>0</v>
      </c>
      <c r="R528" t="b">
        <v>1</v>
      </c>
      <c r="S528" t="s">
        <v>33</v>
      </c>
      <c r="T528" t="str">
        <f>_xlfn.TEXTBEFORE(Table2[[#This Row],[category &amp; sub-category]],"/")</f>
        <v>theater</v>
      </c>
      <c r="U528" t="str">
        <f>_xlfn.TEXTAFTER(Table2[[#This Row],[category &amp; sub-category]],"/")</f>
        <v>plays</v>
      </c>
    </row>
    <row r="529" spans="1:21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5">
        <f>100*Table2[[#This Row],[pledged]]/Table2[[#This Row],[goal]]</f>
        <v>99.619450317124731</v>
      </c>
      <c r="G529" t="s">
        <v>14</v>
      </c>
      <c r="H529">
        <v>6080</v>
      </c>
      <c r="I529" s="4">
        <f>IF(Table2[[#This Row],[pledged]]&gt;0,Table2[[#This Row],[pledged]]/Table2[[#This Row],[backers_count]],0)</f>
        <v>31</v>
      </c>
      <c r="J529" t="s">
        <v>15</v>
      </c>
      <c r="K529" t="s">
        <v>16</v>
      </c>
      <c r="L529">
        <v>1454652000</v>
      </c>
      <c r="M529">
        <v>1457762400</v>
      </c>
      <c r="N529" s="8">
        <f t="shared" si="16"/>
        <v>42405.25</v>
      </c>
      <c r="O529" s="8">
        <f t="shared" si="17"/>
        <v>42441.25</v>
      </c>
      <c r="P529" s="5">
        <f>_xlfn.DAYS(Table2[[#This Row],[Date Ended Conversion]],Table2[[#This Row],[Date Created Conversion]])+1</f>
        <v>37</v>
      </c>
      <c r="Q529" t="b">
        <v>0</v>
      </c>
      <c r="R529" t="b">
        <v>0</v>
      </c>
      <c r="S529" t="s">
        <v>71</v>
      </c>
      <c r="T529" t="str">
        <f>_xlfn.TEXTBEFORE(Table2[[#This Row],[category &amp; sub-category]],"/")</f>
        <v>film &amp; video</v>
      </c>
      <c r="U529" t="str">
        <f>_xlfn.TEXTAFTER(Table2[[#This Row],[category &amp; sub-category]],"/")</f>
        <v>animation</v>
      </c>
    </row>
    <row r="530" spans="1:21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5">
        <f>100*Table2[[#This Row],[pledged]]/Table2[[#This Row],[goal]]</f>
        <v>80.3</v>
      </c>
      <c r="G530" t="s">
        <v>14</v>
      </c>
      <c r="H530">
        <v>80</v>
      </c>
      <c r="I530" s="4">
        <f>IF(Table2[[#This Row],[pledged]]&gt;0,Table2[[#This Row],[pledged]]/Table2[[#This Row],[backers_count]],0)</f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8">
        <f t="shared" si="16"/>
        <v>41601.25</v>
      </c>
      <c r="O530" s="8">
        <f t="shared" si="17"/>
        <v>41646.25</v>
      </c>
      <c r="P530" s="5">
        <f>_xlfn.DAYS(Table2[[#This Row],[Date Ended Conversion]],Table2[[#This Row],[Date Created Conversion]])+1</f>
        <v>46</v>
      </c>
      <c r="Q530" t="b">
        <v>0</v>
      </c>
      <c r="R530" t="b">
        <v>0</v>
      </c>
      <c r="S530" t="s">
        <v>60</v>
      </c>
      <c r="T530" t="str">
        <f>_xlfn.TEXTBEFORE(Table2[[#This Row],[category &amp; sub-category]],"/")</f>
        <v>music</v>
      </c>
      <c r="U530" t="str">
        <f>_xlfn.TEXTAFTER(Table2[[#This Row],[category &amp; sub-category]],"/")</f>
        <v>indie rock</v>
      </c>
    </row>
    <row r="531" spans="1:21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5">
        <f>100*Table2[[#This Row],[pledged]]/Table2[[#This Row],[goal]]</f>
        <v>11.254901960784315</v>
      </c>
      <c r="G531" t="s">
        <v>14</v>
      </c>
      <c r="H531">
        <v>9</v>
      </c>
      <c r="I531" s="4">
        <f>IF(Table2[[#This Row],[pledged]]&gt;0,Table2[[#This Row],[pledged]]/Table2[[#This Row],[backers_count]],0)</f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8">
        <f t="shared" si="16"/>
        <v>41769.208333333336</v>
      </c>
      <c r="O531" s="8">
        <f t="shared" si="17"/>
        <v>41797.208333333336</v>
      </c>
      <c r="P531" s="5">
        <f>_xlfn.DAYS(Table2[[#This Row],[Date Ended Conversion]],Table2[[#This Row],[Date Created Conversion]])+1</f>
        <v>29</v>
      </c>
      <c r="Q531" t="b">
        <v>0</v>
      </c>
      <c r="R531" t="b">
        <v>0</v>
      </c>
      <c r="S531" t="s">
        <v>89</v>
      </c>
      <c r="T531" t="str">
        <f>_xlfn.TEXTBEFORE(Table2[[#This Row],[category &amp; sub-category]],"/")</f>
        <v>games</v>
      </c>
      <c r="U531" t="str">
        <f>_xlfn.TEXTAFTER(Table2[[#This Row],[category &amp; sub-category]],"/")</f>
        <v>video games</v>
      </c>
    </row>
    <row r="532" spans="1:21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5">
        <f>100*Table2[[#This Row],[pledged]]/Table2[[#This Row],[goal]]</f>
        <v>91.740952380952379</v>
      </c>
      <c r="G532" t="s">
        <v>14</v>
      </c>
      <c r="H532">
        <v>1784</v>
      </c>
      <c r="I532" s="4">
        <f>IF(Table2[[#This Row],[pledged]]&gt;0,Table2[[#This Row],[pledged]]/Table2[[#This Row],[backers_count]],0)</f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8">
        <f t="shared" si="16"/>
        <v>40421.208333333336</v>
      </c>
      <c r="O532" s="8">
        <f t="shared" si="17"/>
        <v>40435.208333333336</v>
      </c>
      <c r="P532" s="5">
        <f>_xlfn.DAYS(Table2[[#This Row],[Date Ended Conversion]],Table2[[#This Row],[Date Created Conversion]])+1</f>
        <v>15</v>
      </c>
      <c r="Q532" t="b">
        <v>0</v>
      </c>
      <c r="R532" t="b">
        <v>1</v>
      </c>
      <c r="S532" t="s">
        <v>119</v>
      </c>
      <c r="T532" t="str">
        <f>_xlfn.TEXTBEFORE(Table2[[#This Row],[category &amp; sub-category]],"/")</f>
        <v>publishing</v>
      </c>
      <c r="U532" t="str">
        <f>_xlfn.TEXTAFTER(Table2[[#This Row],[category &amp; sub-category]],"/")</f>
        <v>fiction</v>
      </c>
    </row>
    <row r="533" spans="1:21" ht="34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5">
        <f>100*Table2[[#This Row],[pledged]]/Table2[[#This Row],[goal]]</f>
        <v>95.521156936261377</v>
      </c>
      <c r="G533" t="s">
        <v>47</v>
      </c>
      <c r="H533">
        <v>3640</v>
      </c>
      <c r="I533" s="4">
        <f>IF(Table2[[#This Row],[pledged]]&gt;0,Table2[[#This Row],[pledged]]/Table2[[#This Row],[backers_count]],0)</f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8">
        <f t="shared" si="16"/>
        <v>41589.25</v>
      </c>
      <c r="O533" s="8">
        <f t="shared" si="17"/>
        <v>41645.25</v>
      </c>
      <c r="P533" s="5">
        <f>_xlfn.DAYS(Table2[[#This Row],[Date Ended Conversion]],Table2[[#This Row],[Date Created Conversion]])+1</f>
        <v>57</v>
      </c>
      <c r="Q533" t="b">
        <v>0</v>
      </c>
      <c r="R533" t="b">
        <v>0</v>
      </c>
      <c r="S533" t="s">
        <v>89</v>
      </c>
      <c r="T533" t="str">
        <f>_xlfn.TEXTBEFORE(Table2[[#This Row],[category &amp; sub-category]],"/")</f>
        <v>games</v>
      </c>
      <c r="U533" t="str">
        <f>_xlfn.TEXTAFTER(Table2[[#This Row],[category &amp; sub-category]],"/")</f>
        <v>video games</v>
      </c>
    </row>
    <row r="534" spans="1:21" ht="17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5">
        <f>100*Table2[[#This Row],[pledged]]/Table2[[#This Row],[goal]]</f>
        <v>502.875</v>
      </c>
      <c r="G534" t="s">
        <v>20</v>
      </c>
      <c r="H534">
        <v>126</v>
      </c>
      <c r="I534" s="4">
        <f>IF(Table2[[#This Row],[pledged]]&gt;0,Table2[[#This Row],[pledged]]/Table2[[#This Row],[backers_count]],0)</f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8">
        <f t="shared" si="16"/>
        <v>43125.25</v>
      </c>
      <c r="O534" s="8">
        <f t="shared" si="17"/>
        <v>43126.25</v>
      </c>
      <c r="P534" s="5">
        <f>_xlfn.DAYS(Table2[[#This Row],[Date Ended Conversion]],Table2[[#This Row],[Date Created Conversion]])+1</f>
        <v>2</v>
      </c>
      <c r="Q534" t="b">
        <v>0</v>
      </c>
      <c r="R534" t="b">
        <v>0</v>
      </c>
      <c r="S534" t="s">
        <v>33</v>
      </c>
      <c r="T534" t="str">
        <f>_xlfn.TEXTBEFORE(Table2[[#This Row],[category &amp; sub-category]],"/")</f>
        <v>theater</v>
      </c>
      <c r="U534" t="str">
        <f>_xlfn.TEXTAFTER(Table2[[#This Row],[category &amp; sub-category]],"/")</f>
        <v>plays</v>
      </c>
    </row>
    <row r="535" spans="1:21" ht="17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5">
        <f>100*Table2[[#This Row],[pledged]]/Table2[[#This Row],[goal]]</f>
        <v>159.24394463667821</v>
      </c>
      <c r="G535" t="s">
        <v>20</v>
      </c>
      <c r="H535">
        <v>2218</v>
      </c>
      <c r="I535" s="4">
        <f>IF(Table2[[#This Row],[pledged]]&gt;0,Table2[[#This Row],[pledged]]/Table2[[#This Row],[backers_count]],0)</f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8">
        <f t="shared" si="16"/>
        <v>41479.208333333336</v>
      </c>
      <c r="O535" s="8">
        <f t="shared" si="17"/>
        <v>41515.208333333336</v>
      </c>
      <c r="P535" s="5">
        <f>_xlfn.DAYS(Table2[[#This Row],[Date Ended Conversion]],Table2[[#This Row],[Date Created Conversion]])+1</f>
        <v>37</v>
      </c>
      <c r="Q535" t="b">
        <v>0</v>
      </c>
      <c r="R535" t="b">
        <v>0</v>
      </c>
      <c r="S535" t="s">
        <v>60</v>
      </c>
      <c r="T535" t="str">
        <f>_xlfn.TEXTBEFORE(Table2[[#This Row],[category &amp; sub-category]],"/")</f>
        <v>music</v>
      </c>
      <c r="U535" t="str">
        <f>_xlfn.TEXTAFTER(Table2[[#This Row],[category &amp; sub-category]],"/")</f>
        <v>indie rock</v>
      </c>
    </row>
    <row r="536" spans="1:21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5">
        <f>100*Table2[[#This Row],[pledged]]/Table2[[#This Row],[goal]]</f>
        <v>15.022446689113355</v>
      </c>
      <c r="G536" t="s">
        <v>14</v>
      </c>
      <c r="H536">
        <v>243</v>
      </c>
      <c r="I536" s="4">
        <f>IF(Table2[[#This Row],[pledged]]&gt;0,Table2[[#This Row],[pledged]]/Table2[[#This Row],[backers_count]],0)</f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8">
        <f t="shared" si="16"/>
        <v>43329.208333333328</v>
      </c>
      <c r="O536" s="8">
        <f t="shared" si="17"/>
        <v>43330.208333333328</v>
      </c>
      <c r="P536" s="5">
        <f>_xlfn.DAYS(Table2[[#This Row],[Date Ended Conversion]],Table2[[#This Row],[Date Created Conversion]])+1</f>
        <v>2</v>
      </c>
      <c r="Q536" t="b">
        <v>0</v>
      </c>
      <c r="R536" t="b">
        <v>1</v>
      </c>
      <c r="S536" t="s">
        <v>53</v>
      </c>
      <c r="T536" t="str">
        <f>_xlfn.TEXTBEFORE(Table2[[#This Row],[category &amp; sub-category]],"/")</f>
        <v>film &amp; video</v>
      </c>
      <c r="U536" t="str">
        <f>_xlfn.TEXTAFTER(Table2[[#This Row],[category &amp; sub-category]],"/")</f>
        <v>drama</v>
      </c>
    </row>
    <row r="537" spans="1:21" ht="17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5">
        <f>100*Table2[[#This Row],[pledged]]/Table2[[#This Row],[goal]]</f>
        <v>482.03846153846155</v>
      </c>
      <c r="G537" t="s">
        <v>20</v>
      </c>
      <c r="H537">
        <v>202</v>
      </c>
      <c r="I537" s="4">
        <f>IF(Table2[[#This Row],[pledged]]&gt;0,Table2[[#This Row],[pledged]]/Table2[[#This Row],[backers_count]],0)</f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8">
        <f t="shared" si="16"/>
        <v>43259.208333333328</v>
      </c>
      <c r="O537" s="8">
        <f t="shared" si="17"/>
        <v>43261.208333333328</v>
      </c>
      <c r="P537" s="5">
        <f>_xlfn.DAYS(Table2[[#This Row],[Date Ended Conversion]],Table2[[#This Row],[Date Created Conversion]])+1</f>
        <v>3</v>
      </c>
      <c r="Q537" t="b">
        <v>0</v>
      </c>
      <c r="R537" t="b">
        <v>1</v>
      </c>
      <c r="S537" t="s">
        <v>33</v>
      </c>
      <c r="T537" t="str">
        <f>_xlfn.TEXTBEFORE(Table2[[#This Row],[category &amp; sub-category]],"/")</f>
        <v>theater</v>
      </c>
      <c r="U537" t="str">
        <f>_xlfn.TEXTAFTER(Table2[[#This Row],[category &amp; sub-category]],"/")</f>
        <v>plays</v>
      </c>
    </row>
    <row r="538" spans="1:21" ht="17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5">
        <f>100*Table2[[#This Row],[pledged]]/Table2[[#This Row],[goal]]</f>
        <v>149.96938775510205</v>
      </c>
      <c r="G538" t="s">
        <v>20</v>
      </c>
      <c r="H538">
        <v>140</v>
      </c>
      <c r="I538" s="4">
        <f>IF(Table2[[#This Row],[pledged]]&gt;0,Table2[[#This Row],[pledged]]/Table2[[#This Row],[backers_count]],0)</f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8">
        <f t="shared" si="16"/>
        <v>40414.208333333336</v>
      </c>
      <c r="O538" s="8">
        <f t="shared" si="17"/>
        <v>40440.208333333336</v>
      </c>
      <c r="P538" s="5">
        <f>_xlfn.DAYS(Table2[[#This Row],[Date Ended Conversion]],Table2[[#This Row],[Date Created Conversion]])+1</f>
        <v>27</v>
      </c>
      <c r="Q538" t="b">
        <v>0</v>
      </c>
      <c r="R538" t="b">
        <v>0</v>
      </c>
      <c r="S538" t="s">
        <v>119</v>
      </c>
      <c r="T538" t="str">
        <f>_xlfn.TEXTBEFORE(Table2[[#This Row],[category &amp; sub-category]],"/")</f>
        <v>publishing</v>
      </c>
      <c r="U538" t="str">
        <f>_xlfn.TEXTAFTER(Table2[[#This Row],[category &amp; sub-category]],"/")</f>
        <v>fiction</v>
      </c>
    </row>
    <row r="539" spans="1:21" ht="17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5">
        <f>100*Table2[[#This Row],[pledged]]/Table2[[#This Row],[goal]]</f>
        <v>117.22156398104265</v>
      </c>
      <c r="G539" t="s">
        <v>20</v>
      </c>
      <c r="H539">
        <v>1052</v>
      </c>
      <c r="I539" s="4">
        <f>IF(Table2[[#This Row],[pledged]]&gt;0,Table2[[#This Row],[pledged]]/Table2[[#This Row],[backers_count]],0)</f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8">
        <f t="shared" si="16"/>
        <v>43342.208333333328</v>
      </c>
      <c r="O539" s="8">
        <f t="shared" si="17"/>
        <v>43365.208333333328</v>
      </c>
      <c r="P539" s="5">
        <f>_xlfn.DAYS(Table2[[#This Row],[Date Ended Conversion]],Table2[[#This Row],[Date Created Conversion]])+1</f>
        <v>24</v>
      </c>
      <c r="Q539" t="b">
        <v>1</v>
      </c>
      <c r="R539" t="b">
        <v>1</v>
      </c>
      <c r="S539" t="s">
        <v>42</v>
      </c>
      <c r="T539" t="str">
        <f>_xlfn.TEXTBEFORE(Table2[[#This Row],[category &amp; sub-category]],"/")</f>
        <v>film &amp; video</v>
      </c>
      <c r="U539" t="str">
        <f>_xlfn.TEXTAFTER(Table2[[#This Row],[category &amp; sub-category]],"/")</f>
        <v>documentary</v>
      </c>
    </row>
    <row r="540" spans="1:21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5">
        <f>100*Table2[[#This Row],[pledged]]/Table2[[#This Row],[goal]]</f>
        <v>37.695968274950431</v>
      </c>
      <c r="G540" t="s">
        <v>14</v>
      </c>
      <c r="H540">
        <v>1296</v>
      </c>
      <c r="I540" s="4">
        <f>IF(Table2[[#This Row],[pledged]]&gt;0,Table2[[#This Row],[pledged]]/Table2[[#This Row],[backers_count]],0)</f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8">
        <f t="shared" si="16"/>
        <v>41539.208333333336</v>
      </c>
      <c r="O540" s="8">
        <f t="shared" si="17"/>
        <v>41555.208333333336</v>
      </c>
      <c r="P540" s="5">
        <f>_xlfn.DAYS(Table2[[#This Row],[Date Ended Conversion]],Table2[[#This Row],[Date Created Conversion]])+1</f>
        <v>17</v>
      </c>
      <c r="Q540" t="b">
        <v>0</v>
      </c>
      <c r="R540" t="b">
        <v>0</v>
      </c>
      <c r="S540" t="s">
        <v>292</v>
      </c>
      <c r="T540" t="str">
        <f>_xlfn.TEXTBEFORE(Table2[[#This Row],[category &amp; sub-category]],"/")</f>
        <v>games</v>
      </c>
      <c r="U540" t="str">
        <f>_xlfn.TEXTAFTER(Table2[[#This Row],[category &amp; sub-category]],"/")</f>
        <v>mobile games</v>
      </c>
    </row>
    <row r="541" spans="1:21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5">
        <f>100*Table2[[#This Row],[pledged]]/Table2[[#This Row],[goal]]</f>
        <v>72.65306122448979</v>
      </c>
      <c r="G541" t="s">
        <v>14</v>
      </c>
      <c r="H541">
        <v>77</v>
      </c>
      <c r="I541" s="4">
        <f>IF(Table2[[#This Row],[pledged]]&gt;0,Table2[[#This Row],[pledged]]/Table2[[#This Row],[backers_count]],0)</f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8">
        <f t="shared" si="16"/>
        <v>43647.208333333328</v>
      </c>
      <c r="O541" s="8">
        <f t="shared" si="17"/>
        <v>43653.208333333328</v>
      </c>
      <c r="P541" s="5">
        <f>_xlfn.DAYS(Table2[[#This Row],[Date Ended Conversion]],Table2[[#This Row],[Date Created Conversion]])+1</f>
        <v>7</v>
      </c>
      <c r="Q541" t="b">
        <v>0</v>
      </c>
      <c r="R541" t="b">
        <v>1</v>
      </c>
      <c r="S541" t="s">
        <v>17</v>
      </c>
      <c r="T541" t="str">
        <f>_xlfn.TEXTBEFORE(Table2[[#This Row],[category &amp; sub-category]],"/")</f>
        <v>food</v>
      </c>
      <c r="U541" t="str">
        <f>_xlfn.TEXTAFTER(Table2[[#This Row],[category &amp; sub-category]],"/")</f>
        <v>food trucks</v>
      </c>
    </row>
    <row r="542" spans="1:21" ht="17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5">
        <f>100*Table2[[#This Row],[pledged]]/Table2[[#This Row],[goal]]</f>
        <v>265.98113207547169</v>
      </c>
      <c r="G542" t="s">
        <v>20</v>
      </c>
      <c r="H542">
        <v>247</v>
      </c>
      <c r="I542" s="4">
        <f>IF(Table2[[#This Row],[pledged]]&gt;0,Table2[[#This Row],[pledged]]/Table2[[#This Row],[backers_count]],0)</f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8">
        <f t="shared" si="16"/>
        <v>43225.208333333328</v>
      </c>
      <c r="O542" s="8">
        <f t="shared" si="17"/>
        <v>43247.208333333328</v>
      </c>
      <c r="P542" s="5">
        <f>_xlfn.DAYS(Table2[[#This Row],[Date Ended Conversion]],Table2[[#This Row],[Date Created Conversion]])+1</f>
        <v>23</v>
      </c>
      <c r="Q542" t="b">
        <v>0</v>
      </c>
      <c r="R542" t="b">
        <v>0</v>
      </c>
      <c r="S542" t="s">
        <v>122</v>
      </c>
      <c r="T542" t="str">
        <f>_xlfn.TEXTBEFORE(Table2[[#This Row],[category &amp; sub-category]],"/")</f>
        <v>photography</v>
      </c>
      <c r="U542" t="str">
        <f>_xlfn.TEXTAFTER(Table2[[#This Row],[category &amp; sub-category]],"/")</f>
        <v>photography books</v>
      </c>
    </row>
    <row r="543" spans="1:21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5">
        <f>100*Table2[[#This Row],[pledged]]/Table2[[#This Row],[goal]]</f>
        <v>24.205617977528089</v>
      </c>
      <c r="G543" t="s">
        <v>14</v>
      </c>
      <c r="H543">
        <v>395</v>
      </c>
      <c r="I543" s="4">
        <f>IF(Table2[[#This Row],[pledged]]&gt;0,Table2[[#This Row],[pledged]]/Table2[[#This Row],[backers_count]],0)</f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8">
        <f t="shared" si="16"/>
        <v>42165.208333333328</v>
      </c>
      <c r="O543" s="8">
        <f t="shared" si="17"/>
        <v>42191.208333333328</v>
      </c>
      <c r="P543" s="5">
        <f>_xlfn.DAYS(Table2[[#This Row],[Date Ended Conversion]],Table2[[#This Row],[Date Created Conversion]])+1</f>
        <v>27</v>
      </c>
      <c r="Q543" t="b">
        <v>0</v>
      </c>
      <c r="R543" t="b">
        <v>0</v>
      </c>
      <c r="S543" t="s">
        <v>292</v>
      </c>
      <c r="T543" t="str">
        <f>_xlfn.TEXTBEFORE(Table2[[#This Row],[category &amp; sub-category]],"/")</f>
        <v>games</v>
      </c>
      <c r="U543" t="str">
        <f>_xlfn.TEXTAFTER(Table2[[#This Row],[category &amp; sub-category]],"/")</f>
        <v>mobile games</v>
      </c>
    </row>
    <row r="544" spans="1:21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5">
        <f>100*Table2[[#This Row],[pledged]]/Table2[[#This Row],[goal]]</f>
        <v>2.5064935064935066</v>
      </c>
      <c r="G544" t="s">
        <v>14</v>
      </c>
      <c r="H544">
        <v>49</v>
      </c>
      <c r="I544" s="4">
        <f>IF(Table2[[#This Row],[pledged]]&gt;0,Table2[[#This Row],[pledged]]/Table2[[#This Row],[backers_count]],0)</f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8">
        <f t="shared" si="16"/>
        <v>42391.25</v>
      </c>
      <c r="O544" s="8">
        <f t="shared" si="17"/>
        <v>42421.25</v>
      </c>
      <c r="P544" s="5">
        <f>_xlfn.DAYS(Table2[[#This Row],[Date Ended Conversion]],Table2[[#This Row],[Date Created Conversion]])+1</f>
        <v>31</v>
      </c>
      <c r="Q544" t="b">
        <v>0</v>
      </c>
      <c r="R544" t="b">
        <v>0</v>
      </c>
      <c r="S544" t="s">
        <v>60</v>
      </c>
      <c r="T544" t="str">
        <f>_xlfn.TEXTBEFORE(Table2[[#This Row],[category &amp; sub-category]],"/")</f>
        <v>music</v>
      </c>
      <c r="U544" t="str">
        <f>_xlfn.TEXTAFTER(Table2[[#This Row],[category &amp; sub-category]],"/")</f>
        <v>indie rock</v>
      </c>
    </row>
    <row r="545" spans="1:21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5">
        <f>100*Table2[[#This Row],[pledged]]/Table2[[#This Row],[goal]]</f>
        <v>16.329799764428738</v>
      </c>
      <c r="G545" t="s">
        <v>14</v>
      </c>
      <c r="H545">
        <v>180</v>
      </c>
      <c r="I545" s="4">
        <f>IF(Table2[[#This Row],[pledged]]&gt;0,Table2[[#This Row],[pledged]]/Table2[[#This Row],[backers_count]],0)</f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8">
        <f t="shared" si="16"/>
        <v>41528.208333333336</v>
      </c>
      <c r="O545" s="8">
        <f t="shared" si="17"/>
        <v>41543.208333333336</v>
      </c>
      <c r="P545" s="5">
        <f>_xlfn.DAYS(Table2[[#This Row],[Date Ended Conversion]],Table2[[#This Row],[Date Created Conversion]])+1</f>
        <v>16</v>
      </c>
      <c r="Q545" t="b">
        <v>0</v>
      </c>
      <c r="R545" t="b">
        <v>0</v>
      </c>
      <c r="S545" t="s">
        <v>89</v>
      </c>
      <c r="T545" t="str">
        <f>_xlfn.TEXTBEFORE(Table2[[#This Row],[category &amp; sub-category]],"/")</f>
        <v>games</v>
      </c>
      <c r="U545" t="str">
        <f>_xlfn.TEXTAFTER(Table2[[#This Row],[category &amp; sub-category]],"/")</f>
        <v>video games</v>
      </c>
    </row>
    <row r="546" spans="1:21" ht="34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5">
        <f>100*Table2[[#This Row],[pledged]]/Table2[[#This Row],[goal]]</f>
        <v>276.5</v>
      </c>
      <c r="G546" t="s">
        <v>20</v>
      </c>
      <c r="H546">
        <v>84</v>
      </c>
      <c r="I546" s="4">
        <f>IF(Table2[[#This Row],[pledged]]&gt;0,Table2[[#This Row],[pledged]]/Table2[[#This Row],[backers_count]],0)</f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8">
        <f t="shared" si="16"/>
        <v>42377.25</v>
      </c>
      <c r="O546" s="8">
        <f t="shared" si="17"/>
        <v>42390.25</v>
      </c>
      <c r="P546" s="5">
        <f>_xlfn.DAYS(Table2[[#This Row],[Date Ended Conversion]],Table2[[#This Row],[Date Created Conversion]])+1</f>
        <v>14</v>
      </c>
      <c r="Q546" t="b">
        <v>0</v>
      </c>
      <c r="R546" t="b">
        <v>0</v>
      </c>
      <c r="S546" t="s">
        <v>23</v>
      </c>
      <c r="T546" t="str">
        <f>_xlfn.TEXTBEFORE(Table2[[#This Row],[category &amp; sub-category]],"/")</f>
        <v>music</v>
      </c>
      <c r="U546" t="str">
        <f>_xlfn.TEXTAFTER(Table2[[#This Row],[category &amp; sub-category]],"/")</f>
        <v>rock</v>
      </c>
    </row>
    <row r="547" spans="1:21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5">
        <f>100*Table2[[#This Row],[pledged]]/Table2[[#This Row],[goal]]</f>
        <v>88.803571428571431</v>
      </c>
      <c r="G547" t="s">
        <v>14</v>
      </c>
      <c r="H547">
        <v>2690</v>
      </c>
      <c r="I547" s="4">
        <f>IF(Table2[[#This Row],[pledged]]&gt;0,Table2[[#This Row],[pledged]]/Table2[[#This Row],[backers_count]],0)</f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8">
        <f t="shared" si="16"/>
        <v>43824.25</v>
      </c>
      <c r="O547" s="8">
        <f t="shared" si="17"/>
        <v>43844.25</v>
      </c>
      <c r="P547" s="5">
        <f>_xlfn.DAYS(Table2[[#This Row],[Date Ended Conversion]],Table2[[#This Row],[Date Created Conversion]])+1</f>
        <v>21</v>
      </c>
      <c r="Q547" t="b">
        <v>0</v>
      </c>
      <c r="R547" t="b">
        <v>0</v>
      </c>
      <c r="S547" t="s">
        <v>33</v>
      </c>
      <c r="T547" t="str">
        <f>_xlfn.TEXTBEFORE(Table2[[#This Row],[category &amp; sub-category]],"/")</f>
        <v>theater</v>
      </c>
      <c r="U547" t="str">
        <f>_xlfn.TEXTAFTER(Table2[[#This Row],[category &amp; sub-category]],"/")</f>
        <v>plays</v>
      </c>
    </row>
    <row r="548" spans="1:21" ht="17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5">
        <f>100*Table2[[#This Row],[pledged]]/Table2[[#This Row],[goal]]</f>
        <v>163.57142857142858</v>
      </c>
      <c r="G548" t="s">
        <v>20</v>
      </c>
      <c r="H548">
        <v>88</v>
      </c>
      <c r="I548" s="4">
        <f>IF(Table2[[#This Row],[pledged]]&gt;0,Table2[[#This Row],[pledged]]/Table2[[#This Row],[backers_count]],0)</f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8">
        <f t="shared" si="16"/>
        <v>43360.208333333328</v>
      </c>
      <c r="O548" s="8">
        <f t="shared" si="17"/>
        <v>43363.208333333328</v>
      </c>
      <c r="P548" s="5">
        <f>_xlfn.DAYS(Table2[[#This Row],[Date Ended Conversion]],Table2[[#This Row],[Date Created Conversion]])+1</f>
        <v>4</v>
      </c>
      <c r="Q548" t="b">
        <v>0</v>
      </c>
      <c r="R548" t="b">
        <v>1</v>
      </c>
      <c r="S548" t="s">
        <v>33</v>
      </c>
      <c r="T548" t="str">
        <f>_xlfn.TEXTBEFORE(Table2[[#This Row],[category &amp; sub-category]],"/")</f>
        <v>theater</v>
      </c>
      <c r="U548" t="str">
        <f>_xlfn.TEXTAFTER(Table2[[#This Row],[category &amp; sub-category]],"/")</f>
        <v>plays</v>
      </c>
    </row>
    <row r="549" spans="1:21" ht="17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5">
        <f>100*Table2[[#This Row],[pledged]]/Table2[[#This Row],[goal]]</f>
        <v>969</v>
      </c>
      <c r="G549" t="s">
        <v>20</v>
      </c>
      <c r="H549">
        <v>156</v>
      </c>
      <c r="I549" s="4">
        <f>IF(Table2[[#This Row],[pledged]]&gt;0,Table2[[#This Row],[pledged]]/Table2[[#This Row],[backers_count]],0)</f>
        <v>80.75</v>
      </c>
      <c r="J549" t="s">
        <v>21</v>
      </c>
      <c r="K549" t="s">
        <v>22</v>
      </c>
      <c r="L549">
        <v>1422165600</v>
      </c>
      <c r="M549">
        <v>1423202400</v>
      </c>
      <c r="N549" s="8">
        <f t="shared" si="16"/>
        <v>42029.25</v>
      </c>
      <c r="O549" s="8">
        <f t="shared" si="17"/>
        <v>42041.25</v>
      </c>
      <c r="P549" s="5">
        <f>_xlfn.DAYS(Table2[[#This Row],[Date Ended Conversion]],Table2[[#This Row],[Date Created Conversion]])+1</f>
        <v>13</v>
      </c>
      <c r="Q549" t="b">
        <v>0</v>
      </c>
      <c r="R549" t="b">
        <v>0</v>
      </c>
      <c r="S549" t="s">
        <v>53</v>
      </c>
      <c r="T549" t="str">
        <f>_xlfn.TEXTBEFORE(Table2[[#This Row],[category &amp; sub-category]],"/")</f>
        <v>film &amp; video</v>
      </c>
      <c r="U549" t="str">
        <f>_xlfn.TEXTAFTER(Table2[[#This Row],[category &amp; sub-category]],"/")</f>
        <v>drama</v>
      </c>
    </row>
    <row r="550" spans="1:21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5">
        <f>100*Table2[[#This Row],[pledged]]/Table2[[#This Row],[goal]]</f>
        <v>270.91376701966715</v>
      </c>
      <c r="G550" t="s">
        <v>20</v>
      </c>
      <c r="H550">
        <v>2985</v>
      </c>
      <c r="I550" s="4">
        <f>IF(Table2[[#This Row],[pledged]]&gt;0,Table2[[#This Row],[pledged]]/Table2[[#This Row],[backers_count]],0)</f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8">
        <f t="shared" si="16"/>
        <v>42461.208333333328</v>
      </c>
      <c r="O550" s="8">
        <f t="shared" si="17"/>
        <v>42474.208333333328</v>
      </c>
      <c r="P550" s="5">
        <f>_xlfn.DAYS(Table2[[#This Row],[Date Ended Conversion]],Table2[[#This Row],[Date Created Conversion]])+1</f>
        <v>14</v>
      </c>
      <c r="Q550" t="b">
        <v>0</v>
      </c>
      <c r="R550" t="b">
        <v>0</v>
      </c>
      <c r="S550" t="s">
        <v>33</v>
      </c>
      <c r="T550" t="str">
        <f>_xlfn.TEXTBEFORE(Table2[[#This Row],[category &amp; sub-category]],"/")</f>
        <v>theater</v>
      </c>
      <c r="U550" t="str">
        <f>_xlfn.TEXTAFTER(Table2[[#This Row],[category &amp; sub-category]],"/")</f>
        <v>plays</v>
      </c>
    </row>
    <row r="551" spans="1:21" ht="34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5">
        <f>100*Table2[[#This Row],[pledged]]/Table2[[#This Row],[goal]]</f>
        <v>284.21355932203392</v>
      </c>
      <c r="G551" t="s">
        <v>20</v>
      </c>
      <c r="H551">
        <v>762</v>
      </c>
      <c r="I551" s="4">
        <f>IF(Table2[[#This Row],[pledged]]&gt;0,Table2[[#This Row],[pledged]]/Table2[[#This Row],[backers_count]],0)</f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8">
        <f t="shared" si="16"/>
        <v>41422.208333333336</v>
      </c>
      <c r="O551" s="8">
        <f t="shared" si="17"/>
        <v>41431.208333333336</v>
      </c>
      <c r="P551" s="5">
        <f>_xlfn.DAYS(Table2[[#This Row],[Date Ended Conversion]],Table2[[#This Row],[Date Created Conversion]])+1</f>
        <v>10</v>
      </c>
      <c r="Q551" t="b">
        <v>0</v>
      </c>
      <c r="R551" t="b">
        <v>0</v>
      </c>
      <c r="S551" t="s">
        <v>65</v>
      </c>
      <c r="T551" t="str">
        <f>_xlfn.TEXTBEFORE(Table2[[#This Row],[category &amp; sub-category]],"/")</f>
        <v>technology</v>
      </c>
      <c r="U551" t="str">
        <f>_xlfn.TEXTAFTER(Table2[[#This Row],[category &amp; sub-category]],"/")</f>
        <v>wearables</v>
      </c>
    </row>
    <row r="552" spans="1:21" ht="34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5">
        <f>100*Table2[[#This Row],[pledged]]/Table2[[#This Row],[goal]]</f>
        <v>4</v>
      </c>
      <c r="G552" t="s">
        <v>74</v>
      </c>
      <c r="H552">
        <v>1</v>
      </c>
      <c r="I552" s="4">
        <f>IF(Table2[[#This Row],[pledged]]&gt;0,Table2[[#This Row],[pledged]]/Table2[[#This Row],[backers_count]],0)</f>
        <v>4</v>
      </c>
      <c r="J552" t="s">
        <v>98</v>
      </c>
      <c r="K552" t="s">
        <v>99</v>
      </c>
      <c r="L552">
        <v>1330495200</v>
      </c>
      <c r="M552">
        <v>1332306000</v>
      </c>
      <c r="N552" s="8">
        <f t="shared" si="16"/>
        <v>40968.25</v>
      </c>
      <c r="O552" s="8">
        <f t="shared" si="17"/>
        <v>40989.208333333336</v>
      </c>
      <c r="P552" s="5">
        <f>_xlfn.DAYS(Table2[[#This Row],[Date Ended Conversion]],Table2[[#This Row],[Date Created Conversion]])+1</f>
        <v>22</v>
      </c>
      <c r="Q552" t="b">
        <v>0</v>
      </c>
      <c r="R552" t="b">
        <v>0</v>
      </c>
      <c r="S552" t="s">
        <v>60</v>
      </c>
      <c r="T552" t="str">
        <f>_xlfn.TEXTBEFORE(Table2[[#This Row],[category &amp; sub-category]],"/")</f>
        <v>music</v>
      </c>
      <c r="U552" t="str">
        <f>_xlfn.TEXTAFTER(Table2[[#This Row],[category &amp; sub-category]],"/")</f>
        <v>indie rock</v>
      </c>
    </row>
    <row r="553" spans="1:21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5">
        <f>100*Table2[[#This Row],[pledged]]/Table2[[#This Row],[goal]]</f>
        <v>58.6329816768462</v>
      </c>
      <c r="G553" t="s">
        <v>14</v>
      </c>
      <c r="H553">
        <v>2779</v>
      </c>
      <c r="I553" s="4">
        <f>IF(Table2[[#This Row],[pledged]]&gt;0,Table2[[#This Row],[pledged]]/Table2[[#This Row],[backers_count]],0)</f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8">
        <f t="shared" si="16"/>
        <v>41993.25</v>
      </c>
      <c r="O553" s="8">
        <f t="shared" si="17"/>
        <v>42033.25</v>
      </c>
      <c r="P553" s="5">
        <f>_xlfn.DAYS(Table2[[#This Row],[Date Ended Conversion]],Table2[[#This Row],[Date Created Conversion]])+1</f>
        <v>41</v>
      </c>
      <c r="Q553" t="b">
        <v>0</v>
      </c>
      <c r="R553" t="b">
        <v>1</v>
      </c>
      <c r="S553" t="s">
        <v>28</v>
      </c>
      <c r="T553" t="str">
        <f>_xlfn.TEXTBEFORE(Table2[[#This Row],[category &amp; sub-category]],"/")</f>
        <v>technology</v>
      </c>
      <c r="U553" t="str">
        <f>_xlfn.TEXTAFTER(Table2[[#This Row],[category &amp; sub-category]],"/")</f>
        <v>web</v>
      </c>
    </row>
    <row r="554" spans="1:21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5">
        <f>100*Table2[[#This Row],[pledged]]/Table2[[#This Row],[goal]]</f>
        <v>98.511111111111106</v>
      </c>
      <c r="G554" t="s">
        <v>14</v>
      </c>
      <c r="H554">
        <v>92</v>
      </c>
      <c r="I554" s="4">
        <f>IF(Table2[[#This Row],[pledged]]&gt;0,Table2[[#This Row],[pledged]]/Table2[[#This Row],[backers_count]],0)</f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8">
        <f t="shared" si="16"/>
        <v>42700.25</v>
      </c>
      <c r="O554" s="8">
        <f t="shared" si="17"/>
        <v>42702.25</v>
      </c>
      <c r="P554" s="5">
        <f>_xlfn.DAYS(Table2[[#This Row],[Date Ended Conversion]],Table2[[#This Row],[Date Created Conversion]])+1</f>
        <v>3</v>
      </c>
      <c r="Q554" t="b">
        <v>0</v>
      </c>
      <c r="R554" t="b">
        <v>0</v>
      </c>
      <c r="S554" t="s">
        <v>33</v>
      </c>
      <c r="T554" t="str">
        <f>_xlfn.TEXTBEFORE(Table2[[#This Row],[category &amp; sub-category]],"/")</f>
        <v>theater</v>
      </c>
      <c r="U554" t="str">
        <f>_xlfn.TEXTAFTER(Table2[[#This Row],[category &amp; sub-category]],"/")</f>
        <v>plays</v>
      </c>
    </row>
    <row r="555" spans="1:21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5">
        <f>100*Table2[[#This Row],[pledged]]/Table2[[#This Row],[goal]]</f>
        <v>43.975381008206334</v>
      </c>
      <c r="G555" t="s">
        <v>14</v>
      </c>
      <c r="H555">
        <v>1028</v>
      </c>
      <c r="I555" s="4">
        <f>IF(Table2[[#This Row],[pledged]]&gt;0,Table2[[#This Row],[pledged]]/Table2[[#This Row],[backers_count]],0)</f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8">
        <f t="shared" si="16"/>
        <v>40545.25</v>
      </c>
      <c r="O555" s="8">
        <f t="shared" si="17"/>
        <v>40546.25</v>
      </c>
      <c r="P555" s="5">
        <f>_xlfn.DAYS(Table2[[#This Row],[Date Ended Conversion]],Table2[[#This Row],[Date Created Conversion]])+1</f>
        <v>2</v>
      </c>
      <c r="Q555" t="b">
        <v>0</v>
      </c>
      <c r="R555" t="b">
        <v>0</v>
      </c>
      <c r="S555" t="s">
        <v>23</v>
      </c>
      <c r="T555" t="str">
        <f>_xlfn.TEXTBEFORE(Table2[[#This Row],[category &amp; sub-category]],"/")</f>
        <v>music</v>
      </c>
      <c r="U555" t="str">
        <f>_xlfn.TEXTAFTER(Table2[[#This Row],[category &amp; sub-category]],"/")</f>
        <v>rock</v>
      </c>
    </row>
    <row r="556" spans="1:21" ht="34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5">
        <f>100*Table2[[#This Row],[pledged]]/Table2[[#This Row],[goal]]</f>
        <v>151.66315789473686</v>
      </c>
      <c r="G556" t="s">
        <v>20</v>
      </c>
      <c r="H556">
        <v>554</v>
      </c>
      <c r="I556" s="4">
        <f>IF(Table2[[#This Row],[pledged]]&gt;0,Table2[[#This Row],[pledged]]/Table2[[#This Row],[backers_count]],0)</f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8">
        <f t="shared" si="16"/>
        <v>42723.25</v>
      </c>
      <c r="O556" s="8">
        <f t="shared" si="17"/>
        <v>42729.25</v>
      </c>
      <c r="P556" s="5">
        <f>_xlfn.DAYS(Table2[[#This Row],[Date Ended Conversion]],Table2[[#This Row],[Date Created Conversion]])+1</f>
        <v>7</v>
      </c>
      <c r="Q556" t="b">
        <v>0</v>
      </c>
      <c r="R556" t="b">
        <v>0</v>
      </c>
      <c r="S556" t="s">
        <v>60</v>
      </c>
      <c r="T556" t="str">
        <f>_xlfn.TEXTBEFORE(Table2[[#This Row],[category &amp; sub-category]],"/")</f>
        <v>music</v>
      </c>
      <c r="U556" t="str">
        <f>_xlfn.TEXTAFTER(Table2[[#This Row],[category &amp; sub-category]],"/")</f>
        <v>indie rock</v>
      </c>
    </row>
    <row r="557" spans="1:21" ht="17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5">
        <f>100*Table2[[#This Row],[pledged]]/Table2[[#This Row],[goal]]</f>
        <v>223.63492063492063</v>
      </c>
      <c r="G557" t="s">
        <v>20</v>
      </c>
      <c r="H557">
        <v>135</v>
      </c>
      <c r="I557" s="4">
        <f>IF(Table2[[#This Row],[pledged]]&gt;0,Table2[[#This Row],[pledged]]/Table2[[#This Row],[backers_count]],0)</f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8">
        <f t="shared" si="16"/>
        <v>41731.208333333336</v>
      </c>
      <c r="O557" s="8">
        <f t="shared" si="17"/>
        <v>41762.208333333336</v>
      </c>
      <c r="P557" s="5">
        <f>_xlfn.DAYS(Table2[[#This Row],[Date Ended Conversion]],Table2[[#This Row],[Date Created Conversion]])+1</f>
        <v>32</v>
      </c>
      <c r="Q557" t="b">
        <v>0</v>
      </c>
      <c r="R557" t="b">
        <v>0</v>
      </c>
      <c r="S557" t="s">
        <v>23</v>
      </c>
      <c r="T557" t="str">
        <f>_xlfn.TEXTBEFORE(Table2[[#This Row],[category &amp; sub-category]],"/")</f>
        <v>music</v>
      </c>
      <c r="U557" t="str">
        <f>_xlfn.TEXTAFTER(Table2[[#This Row],[category &amp; sub-category]],"/")</f>
        <v>rock</v>
      </c>
    </row>
    <row r="558" spans="1:21" ht="17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5">
        <f>100*Table2[[#This Row],[pledged]]/Table2[[#This Row],[goal]]</f>
        <v>239.75</v>
      </c>
      <c r="G558" t="s">
        <v>20</v>
      </c>
      <c r="H558">
        <v>122</v>
      </c>
      <c r="I558" s="4">
        <f>IF(Table2[[#This Row],[pledged]]&gt;0,Table2[[#This Row],[pledged]]/Table2[[#This Row],[backers_count]],0)</f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8">
        <f t="shared" si="16"/>
        <v>40792.208333333336</v>
      </c>
      <c r="O558" s="8">
        <f t="shared" si="17"/>
        <v>40799.208333333336</v>
      </c>
      <c r="P558" s="5">
        <f>_xlfn.DAYS(Table2[[#This Row],[Date Ended Conversion]],Table2[[#This Row],[Date Created Conversion]])+1</f>
        <v>8</v>
      </c>
      <c r="Q558" t="b">
        <v>0</v>
      </c>
      <c r="R558" t="b">
        <v>1</v>
      </c>
      <c r="S558" t="s">
        <v>206</v>
      </c>
      <c r="T558" t="str">
        <f>_xlfn.TEXTBEFORE(Table2[[#This Row],[category &amp; sub-category]],"/")</f>
        <v>publishing</v>
      </c>
      <c r="U558" t="str">
        <f>_xlfn.TEXTAFTER(Table2[[#This Row],[category &amp; sub-category]],"/")</f>
        <v>translations</v>
      </c>
    </row>
    <row r="559" spans="1:21" ht="17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5">
        <f>100*Table2[[#This Row],[pledged]]/Table2[[#This Row],[goal]]</f>
        <v>199.33333333333334</v>
      </c>
      <c r="G559" t="s">
        <v>20</v>
      </c>
      <c r="H559">
        <v>221</v>
      </c>
      <c r="I559" s="4">
        <f>IF(Table2[[#This Row],[pledged]]&gt;0,Table2[[#This Row],[pledged]]/Table2[[#This Row],[backers_count]],0)</f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8">
        <f t="shared" si="16"/>
        <v>42279.208333333328</v>
      </c>
      <c r="O559" s="8">
        <f t="shared" si="17"/>
        <v>42282.208333333328</v>
      </c>
      <c r="P559" s="5">
        <f>_xlfn.DAYS(Table2[[#This Row],[Date Ended Conversion]],Table2[[#This Row],[Date Created Conversion]])+1</f>
        <v>4</v>
      </c>
      <c r="Q559" t="b">
        <v>0</v>
      </c>
      <c r="R559" t="b">
        <v>1</v>
      </c>
      <c r="S559" t="s">
        <v>474</v>
      </c>
      <c r="T559" t="str">
        <f>_xlfn.TEXTBEFORE(Table2[[#This Row],[category &amp; sub-category]],"/")</f>
        <v>film &amp; video</v>
      </c>
      <c r="U559" t="str">
        <f>_xlfn.TEXTAFTER(Table2[[#This Row],[category &amp; sub-category]],"/")</f>
        <v>science fiction</v>
      </c>
    </row>
    <row r="560" spans="1:21" ht="17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5">
        <f>100*Table2[[#This Row],[pledged]]/Table2[[#This Row],[goal]]</f>
        <v>137.34482758620689</v>
      </c>
      <c r="G560" t="s">
        <v>20</v>
      </c>
      <c r="H560">
        <v>126</v>
      </c>
      <c r="I560" s="4">
        <f>IF(Table2[[#This Row],[pledged]]&gt;0,Table2[[#This Row],[pledged]]/Table2[[#This Row],[backers_count]],0)</f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8">
        <f t="shared" si="16"/>
        <v>42424.25</v>
      </c>
      <c r="O560" s="8">
        <f t="shared" si="17"/>
        <v>42467.208333333328</v>
      </c>
      <c r="P560" s="5">
        <f>_xlfn.DAYS(Table2[[#This Row],[Date Ended Conversion]],Table2[[#This Row],[Date Created Conversion]])+1</f>
        <v>44</v>
      </c>
      <c r="Q560" t="b">
        <v>0</v>
      </c>
      <c r="R560" t="b">
        <v>0</v>
      </c>
      <c r="S560" t="s">
        <v>33</v>
      </c>
      <c r="T560" t="str">
        <f>_xlfn.TEXTBEFORE(Table2[[#This Row],[category &amp; sub-category]],"/")</f>
        <v>theater</v>
      </c>
      <c r="U560" t="str">
        <f>_xlfn.TEXTAFTER(Table2[[#This Row],[category &amp; sub-category]],"/")</f>
        <v>plays</v>
      </c>
    </row>
    <row r="561" spans="1:21" ht="17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5">
        <f>100*Table2[[#This Row],[pledged]]/Table2[[#This Row],[goal]]</f>
        <v>100.96961063627731</v>
      </c>
      <c r="G561" t="s">
        <v>20</v>
      </c>
      <c r="H561">
        <v>1022</v>
      </c>
      <c r="I561" s="4">
        <f>IF(Table2[[#This Row],[pledged]]&gt;0,Table2[[#This Row],[pledged]]/Table2[[#This Row],[backers_count]],0)</f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8">
        <f t="shared" si="16"/>
        <v>42584.208333333328</v>
      </c>
      <c r="O561" s="8">
        <f t="shared" si="17"/>
        <v>42591.208333333328</v>
      </c>
      <c r="P561" s="5">
        <f>_xlfn.DAYS(Table2[[#This Row],[Date Ended Conversion]],Table2[[#This Row],[Date Created Conversion]])+1</f>
        <v>8</v>
      </c>
      <c r="Q561" t="b">
        <v>0</v>
      </c>
      <c r="R561" t="b">
        <v>0</v>
      </c>
      <c r="S561" t="s">
        <v>33</v>
      </c>
      <c r="T561" t="str">
        <f>_xlfn.TEXTBEFORE(Table2[[#This Row],[category &amp; sub-category]],"/")</f>
        <v>theater</v>
      </c>
      <c r="U561" t="str">
        <f>_xlfn.TEXTAFTER(Table2[[#This Row],[category &amp; sub-category]],"/")</f>
        <v>plays</v>
      </c>
    </row>
    <row r="562" spans="1:21" ht="17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5">
        <f>100*Table2[[#This Row],[pledged]]/Table2[[#This Row],[goal]]</f>
        <v>794.16</v>
      </c>
      <c r="G562" t="s">
        <v>20</v>
      </c>
      <c r="H562">
        <v>3177</v>
      </c>
      <c r="I562" s="4">
        <f>IF(Table2[[#This Row],[pledged]]&gt;0,Table2[[#This Row],[pledged]]/Table2[[#This Row],[backers_count]],0)</f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8">
        <f t="shared" si="16"/>
        <v>40865.25</v>
      </c>
      <c r="O562" s="8">
        <f t="shared" si="17"/>
        <v>40905.25</v>
      </c>
      <c r="P562" s="5">
        <f>_xlfn.DAYS(Table2[[#This Row],[Date Ended Conversion]],Table2[[#This Row],[Date Created Conversion]])+1</f>
        <v>41</v>
      </c>
      <c r="Q562" t="b">
        <v>0</v>
      </c>
      <c r="R562" t="b">
        <v>0</v>
      </c>
      <c r="S562" t="s">
        <v>71</v>
      </c>
      <c r="T562" t="str">
        <f>_xlfn.TEXTBEFORE(Table2[[#This Row],[category &amp; sub-category]],"/")</f>
        <v>film &amp; video</v>
      </c>
      <c r="U562" t="str">
        <f>_xlfn.TEXTAFTER(Table2[[#This Row],[category &amp; sub-category]],"/")</f>
        <v>animation</v>
      </c>
    </row>
    <row r="563" spans="1:21" ht="17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5">
        <f>100*Table2[[#This Row],[pledged]]/Table2[[#This Row],[goal]]</f>
        <v>369.7</v>
      </c>
      <c r="G563" t="s">
        <v>20</v>
      </c>
      <c r="H563">
        <v>198</v>
      </c>
      <c r="I563" s="4">
        <f>IF(Table2[[#This Row],[pledged]]&gt;0,Table2[[#This Row],[pledged]]/Table2[[#This Row],[backers_count]],0)</f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8">
        <f t="shared" si="16"/>
        <v>40833.208333333336</v>
      </c>
      <c r="O563" s="8">
        <f t="shared" si="17"/>
        <v>40835.208333333336</v>
      </c>
      <c r="P563" s="5">
        <f>_xlfn.DAYS(Table2[[#This Row],[Date Ended Conversion]],Table2[[#This Row],[Date Created Conversion]])+1</f>
        <v>3</v>
      </c>
      <c r="Q563" t="b">
        <v>0</v>
      </c>
      <c r="R563" t="b">
        <v>0</v>
      </c>
      <c r="S563" t="s">
        <v>33</v>
      </c>
      <c r="T563" t="str">
        <f>_xlfn.TEXTBEFORE(Table2[[#This Row],[category &amp; sub-category]],"/")</f>
        <v>theater</v>
      </c>
      <c r="U563" t="str">
        <f>_xlfn.TEXTAFTER(Table2[[#This Row],[category &amp; sub-category]],"/")</f>
        <v>plays</v>
      </c>
    </row>
    <row r="564" spans="1:21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5">
        <f>100*Table2[[#This Row],[pledged]]/Table2[[#This Row],[goal]]</f>
        <v>12.818181818181818</v>
      </c>
      <c r="G564" t="s">
        <v>14</v>
      </c>
      <c r="H564">
        <v>26</v>
      </c>
      <c r="I564" s="4">
        <f>IF(Table2[[#This Row],[pledged]]&gt;0,Table2[[#This Row],[pledged]]/Table2[[#This Row],[backers_count]],0)</f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8">
        <f t="shared" si="16"/>
        <v>43536.208333333328</v>
      </c>
      <c r="O564" s="8">
        <f t="shared" si="17"/>
        <v>43538.208333333328</v>
      </c>
      <c r="P564" s="5">
        <f>_xlfn.DAYS(Table2[[#This Row],[Date Ended Conversion]],Table2[[#This Row],[Date Created Conversion]])+1</f>
        <v>3</v>
      </c>
      <c r="Q564" t="b">
        <v>0</v>
      </c>
      <c r="R564" t="b">
        <v>0</v>
      </c>
      <c r="S564" t="s">
        <v>23</v>
      </c>
      <c r="T564" t="str">
        <f>_xlfn.TEXTBEFORE(Table2[[#This Row],[category &amp; sub-category]],"/")</f>
        <v>music</v>
      </c>
      <c r="U564" t="str">
        <f>_xlfn.TEXTAFTER(Table2[[#This Row],[category &amp; sub-category]],"/")</f>
        <v>rock</v>
      </c>
    </row>
    <row r="565" spans="1:21" ht="17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5">
        <f>100*Table2[[#This Row],[pledged]]/Table2[[#This Row],[goal]]</f>
        <v>138.02702702702703</v>
      </c>
      <c r="G565" t="s">
        <v>20</v>
      </c>
      <c r="H565">
        <v>85</v>
      </c>
      <c r="I565" s="4">
        <f>IF(Table2[[#This Row],[pledged]]&gt;0,Table2[[#This Row],[pledged]]/Table2[[#This Row],[backers_count]],0)</f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8">
        <f t="shared" si="16"/>
        <v>43417.25</v>
      </c>
      <c r="O565" s="8">
        <f t="shared" si="17"/>
        <v>43437.25</v>
      </c>
      <c r="P565" s="5">
        <f>_xlfn.DAYS(Table2[[#This Row],[Date Ended Conversion]],Table2[[#This Row],[Date Created Conversion]])+1</f>
        <v>21</v>
      </c>
      <c r="Q565" t="b">
        <v>0</v>
      </c>
      <c r="R565" t="b">
        <v>0</v>
      </c>
      <c r="S565" t="s">
        <v>42</v>
      </c>
      <c r="T565" t="str">
        <f>_xlfn.TEXTBEFORE(Table2[[#This Row],[category &amp; sub-category]],"/")</f>
        <v>film &amp; video</v>
      </c>
      <c r="U565" t="str">
        <f>_xlfn.TEXTAFTER(Table2[[#This Row],[category &amp; sub-category]],"/")</f>
        <v>documentary</v>
      </c>
    </row>
    <row r="566" spans="1:21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5">
        <f>100*Table2[[#This Row],[pledged]]/Table2[[#This Row],[goal]]</f>
        <v>83.813278008298752</v>
      </c>
      <c r="G566" t="s">
        <v>14</v>
      </c>
      <c r="H566">
        <v>1790</v>
      </c>
      <c r="I566" s="4">
        <f>IF(Table2[[#This Row],[pledged]]&gt;0,Table2[[#This Row],[pledged]]/Table2[[#This Row],[backers_count]],0)</f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8">
        <f t="shared" si="16"/>
        <v>42078.208333333328</v>
      </c>
      <c r="O566" s="8">
        <f t="shared" si="17"/>
        <v>42086.208333333328</v>
      </c>
      <c r="P566" s="5">
        <f>_xlfn.DAYS(Table2[[#This Row],[Date Ended Conversion]],Table2[[#This Row],[Date Created Conversion]])+1</f>
        <v>9</v>
      </c>
      <c r="Q566" t="b">
        <v>0</v>
      </c>
      <c r="R566" t="b">
        <v>0</v>
      </c>
      <c r="S566" t="s">
        <v>33</v>
      </c>
      <c r="T566" t="str">
        <f>_xlfn.TEXTBEFORE(Table2[[#This Row],[category &amp; sub-category]],"/")</f>
        <v>theater</v>
      </c>
      <c r="U566" t="str">
        <f>_xlfn.TEXTAFTER(Table2[[#This Row],[category &amp; sub-category]],"/")</f>
        <v>plays</v>
      </c>
    </row>
    <row r="567" spans="1:21" ht="17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5">
        <f>100*Table2[[#This Row],[pledged]]/Table2[[#This Row],[goal]]</f>
        <v>204.60063224446787</v>
      </c>
      <c r="G567" t="s">
        <v>20</v>
      </c>
      <c r="H567">
        <v>3596</v>
      </c>
      <c r="I567" s="4">
        <f>IF(Table2[[#This Row],[pledged]]&gt;0,Table2[[#This Row],[pledged]]/Table2[[#This Row],[backers_count]],0)</f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8">
        <f t="shared" si="16"/>
        <v>40862.25</v>
      </c>
      <c r="O567" s="8">
        <f t="shared" si="17"/>
        <v>40882.25</v>
      </c>
      <c r="P567" s="5">
        <f>_xlfn.DAYS(Table2[[#This Row],[Date Ended Conversion]],Table2[[#This Row],[Date Created Conversion]])+1</f>
        <v>21</v>
      </c>
      <c r="Q567" t="b">
        <v>0</v>
      </c>
      <c r="R567" t="b">
        <v>0</v>
      </c>
      <c r="S567" t="s">
        <v>33</v>
      </c>
      <c r="T567" t="str">
        <f>_xlfn.TEXTBEFORE(Table2[[#This Row],[category &amp; sub-category]],"/")</f>
        <v>theater</v>
      </c>
      <c r="U567" t="str">
        <f>_xlfn.TEXTAFTER(Table2[[#This Row],[category &amp; sub-category]],"/")</f>
        <v>plays</v>
      </c>
    </row>
    <row r="568" spans="1:21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5">
        <f>100*Table2[[#This Row],[pledged]]/Table2[[#This Row],[goal]]</f>
        <v>44.344086021505376</v>
      </c>
      <c r="G568" t="s">
        <v>14</v>
      </c>
      <c r="H568">
        <v>37</v>
      </c>
      <c r="I568" s="4">
        <f>IF(Table2[[#This Row],[pledged]]&gt;0,Table2[[#This Row],[pledged]]/Table2[[#This Row],[backers_count]],0)</f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8">
        <f t="shared" si="16"/>
        <v>42424.25</v>
      </c>
      <c r="O568" s="8">
        <f t="shared" si="17"/>
        <v>42447.208333333328</v>
      </c>
      <c r="P568" s="5">
        <f>_xlfn.DAYS(Table2[[#This Row],[Date Ended Conversion]],Table2[[#This Row],[Date Created Conversion]])+1</f>
        <v>24</v>
      </c>
      <c r="Q568" t="b">
        <v>0</v>
      </c>
      <c r="R568" t="b">
        <v>1</v>
      </c>
      <c r="S568" t="s">
        <v>50</v>
      </c>
      <c r="T568" t="str">
        <f>_xlfn.TEXTBEFORE(Table2[[#This Row],[category &amp; sub-category]],"/")</f>
        <v>music</v>
      </c>
      <c r="U568" t="str">
        <f>_xlfn.TEXTAFTER(Table2[[#This Row],[category &amp; sub-category]],"/")</f>
        <v>electric music</v>
      </c>
    </row>
    <row r="569" spans="1:21" ht="34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5">
        <f>100*Table2[[#This Row],[pledged]]/Table2[[#This Row],[goal]]</f>
        <v>218.60294117647058</v>
      </c>
      <c r="G569" t="s">
        <v>20</v>
      </c>
      <c r="H569">
        <v>244</v>
      </c>
      <c r="I569" s="4">
        <f>IF(Table2[[#This Row],[pledged]]&gt;0,Table2[[#This Row],[pledged]]/Table2[[#This Row],[backers_count]],0)</f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8">
        <f t="shared" si="16"/>
        <v>41830.208333333336</v>
      </c>
      <c r="O569" s="8">
        <f t="shared" si="17"/>
        <v>41832.208333333336</v>
      </c>
      <c r="P569" s="5">
        <f>_xlfn.DAYS(Table2[[#This Row],[Date Ended Conversion]],Table2[[#This Row],[Date Created Conversion]])+1</f>
        <v>3</v>
      </c>
      <c r="Q569" t="b">
        <v>0</v>
      </c>
      <c r="R569" t="b">
        <v>0</v>
      </c>
      <c r="S569" t="s">
        <v>23</v>
      </c>
      <c r="T569" t="str">
        <f>_xlfn.TEXTBEFORE(Table2[[#This Row],[category &amp; sub-category]],"/")</f>
        <v>music</v>
      </c>
      <c r="U569" t="str">
        <f>_xlfn.TEXTAFTER(Table2[[#This Row],[category &amp; sub-category]],"/")</f>
        <v>rock</v>
      </c>
    </row>
    <row r="570" spans="1:21" ht="17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5">
        <f>100*Table2[[#This Row],[pledged]]/Table2[[#This Row],[goal]]</f>
        <v>186.03314917127071</v>
      </c>
      <c r="G570" t="s">
        <v>20</v>
      </c>
      <c r="H570">
        <v>5180</v>
      </c>
      <c r="I570" s="4">
        <f>IF(Table2[[#This Row],[pledged]]&gt;0,Table2[[#This Row],[pledged]]/Table2[[#This Row],[backers_count]],0)</f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8">
        <f t="shared" si="16"/>
        <v>40374.208333333336</v>
      </c>
      <c r="O570" s="8">
        <f t="shared" si="17"/>
        <v>40419.208333333336</v>
      </c>
      <c r="P570" s="5">
        <f>_xlfn.DAYS(Table2[[#This Row],[Date Ended Conversion]],Table2[[#This Row],[Date Created Conversion]])+1</f>
        <v>46</v>
      </c>
      <c r="Q570" t="b">
        <v>0</v>
      </c>
      <c r="R570" t="b">
        <v>0</v>
      </c>
      <c r="S570" t="s">
        <v>33</v>
      </c>
      <c r="T570" t="str">
        <f>_xlfn.TEXTBEFORE(Table2[[#This Row],[category &amp; sub-category]],"/")</f>
        <v>theater</v>
      </c>
      <c r="U570" t="str">
        <f>_xlfn.TEXTAFTER(Table2[[#This Row],[category &amp; sub-category]],"/")</f>
        <v>plays</v>
      </c>
    </row>
    <row r="571" spans="1:21" ht="17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5">
        <f>100*Table2[[#This Row],[pledged]]/Table2[[#This Row],[goal]]</f>
        <v>237.33830845771143</v>
      </c>
      <c r="G571" t="s">
        <v>20</v>
      </c>
      <c r="H571">
        <v>589</v>
      </c>
      <c r="I571" s="4">
        <f>IF(Table2[[#This Row],[pledged]]&gt;0,Table2[[#This Row],[pledged]]/Table2[[#This Row],[backers_count]],0)</f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8">
        <f t="shared" si="16"/>
        <v>40554.25</v>
      </c>
      <c r="O571" s="8">
        <f t="shared" si="17"/>
        <v>40566.25</v>
      </c>
      <c r="P571" s="5">
        <f>_xlfn.DAYS(Table2[[#This Row],[Date Ended Conversion]],Table2[[#This Row],[Date Created Conversion]])+1</f>
        <v>13</v>
      </c>
      <c r="Q571" t="b">
        <v>0</v>
      </c>
      <c r="R571" t="b">
        <v>0</v>
      </c>
      <c r="S571" t="s">
        <v>71</v>
      </c>
      <c r="T571" t="str">
        <f>_xlfn.TEXTBEFORE(Table2[[#This Row],[category &amp; sub-category]],"/")</f>
        <v>film &amp; video</v>
      </c>
      <c r="U571" t="str">
        <f>_xlfn.TEXTAFTER(Table2[[#This Row],[category &amp; sub-category]],"/")</f>
        <v>animation</v>
      </c>
    </row>
    <row r="572" spans="1:21" ht="17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5">
        <f>100*Table2[[#This Row],[pledged]]/Table2[[#This Row],[goal]]</f>
        <v>305.65384615384613</v>
      </c>
      <c r="G572" t="s">
        <v>20</v>
      </c>
      <c r="H572">
        <v>2725</v>
      </c>
      <c r="I572" s="4">
        <f>IF(Table2[[#This Row],[pledged]]&gt;0,Table2[[#This Row],[pledged]]/Table2[[#This Row],[backers_count]],0)</f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8">
        <f t="shared" si="16"/>
        <v>41993.25</v>
      </c>
      <c r="O572" s="8">
        <f t="shared" si="17"/>
        <v>41999.25</v>
      </c>
      <c r="P572" s="5">
        <f>_xlfn.DAYS(Table2[[#This Row],[Date Ended Conversion]],Table2[[#This Row],[Date Created Conversion]])+1</f>
        <v>7</v>
      </c>
      <c r="Q572" t="b">
        <v>0</v>
      </c>
      <c r="R572" t="b">
        <v>1</v>
      </c>
      <c r="S572" t="s">
        <v>23</v>
      </c>
      <c r="T572" t="str">
        <f>_xlfn.TEXTBEFORE(Table2[[#This Row],[category &amp; sub-category]],"/")</f>
        <v>music</v>
      </c>
      <c r="U572" t="str">
        <f>_xlfn.TEXTAFTER(Table2[[#This Row],[category &amp; sub-category]],"/")</f>
        <v>rock</v>
      </c>
    </row>
    <row r="573" spans="1:21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5">
        <f>100*Table2[[#This Row],[pledged]]/Table2[[#This Row],[goal]]</f>
        <v>94.142857142857139</v>
      </c>
      <c r="G573" t="s">
        <v>14</v>
      </c>
      <c r="H573">
        <v>35</v>
      </c>
      <c r="I573" s="4">
        <f>IF(Table2[[#This Row],[pledged]]&gt;0,Table2[[#This Row],[pledged]]/Table2[[#This Row],[backers_count]],0)</f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8">
        <f t="shared" si="16"/>
        <v>42174.208333333328</v>
      </c>
      <c r="O573" s="8">
        <f t="shared" si="17"/>
        <v>42221.208333333328</v>
      </c>
      <c r="P573" s="5">
        <f>_xlfn.DAYS(Table2[[#This Row],[Date Ended Conversion]],Table2[[#This Row],[Date Created Conversion]])+1</f>
        <v>48</v>
      </c>
      <c r="Q573" t="b">
        <v>0</v>
      </c>
      <c r="R573" t="b">
        <v>0</v>
      </c>
      <c r="S573" t="s">
        <v>100</v>
      </c>
      <c r="T573" t="str">
        <f>_xlfn.TEXTBEFORE(Table2[[#This Row],[category &amp; sub-category]],"/")</f>
        <v>film &amp; video</v>
      </c>
      <c r="U573" t="str">
        <f>_xlfn.TEXTAFTER(Table2[[#This Row],[category &amp; sub-category]],"/")</f>
        <v>shorts</v>
      </c>
    </row>
    <row r="574" spans="1:21" ht="17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5">
        <f>100*Table2[[#This Row],[pledged]]/Table2[[#This Row],[goal]]</f>
        <v>54.4</v>
      </c>
      <c r="G574" t="s">
        <v>74</v>
      </c>
      <c r="H574">
        <v>94</v>
      </c>
      <c r="I574" s="4">
        <f>IF(Table2[[#This Row],[pledged]]&gt;0,Table2[[#This Row],[pledged]]/Table2[[#This Row],[backers_count]],0)</f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8">
        <f t="shared" si="16"/>
        <v>42275.208333333328</v>
      </c>
      <c r="O574" s="8">
        <f t="shared" si="17"/>
        <v>42291.208333333328</v>
      </c>
      <c r="P574" s="5">
        <f>_xlfn.DAYS(Table2[[#This Row],[Date Ended Conversion]],Table2[[#This Row],[Date Created Conversion]])+1</f>
        <v>17</v>
      </c>
      <c r="Q574" t="b">
        <v>0</v>
      </c>
      <c r="R574" t="b">
        <v>1</v>
      </c>
      <c r="S574" t="s">
        <v>23</v>
      </c>
      <c r="T574" t="str">
        <f>_xlfn.TEXTBEFORE(Table2[[#This Row],[category &amp; sub-category]],"/")</f>
        <v>music</v>
      </c>
      <c r="U574" t="str">
        <f>_xlfn.TEXTAFTER(Table2[[#This Row],[category &amp; sub-category]],"/")</f>
        <v>rock</v>
      </c>
    </row>
    <row r="575" spans="1:21" ht="17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5">
        <f>100*Table2[[#This Row],[pledged]]/Table2[[#This Row],[goal]]</f>
        <v>111.88059701492537</v>
      </c>
      <c r="G575" t="s">
        <v>20</v>
      </c>
      <c r="H575">
        <v>300</v>
      </c>
      <c r="I575" s="4">
        <f>IF(Table2[[#This Row],[pledged]]&gt;0,Table2[[#This Row],[pledged]]/Table2[[#This Row],[backers_count]],0)</f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8">
        <f t="shared" si="16"/>
        <v>41761.208333333336</v>
      </c>
      <c r="O575" s="8">
        <f t="shared" si="17"/>
        <v>41763.208333333336</v>
      </c>
      <c r="P575" s="5">
        <f>_xlfn.DAYS(Table2[[#This Row],[Date Ended Conversion]],Table2[[#This Row],[Date Created Conversion]])+1</f>
        <v>3</v>
      </c>
      <c r="Q575" t="b">
        <v>0</v>
      </c>
      <c r="R575" t="b">
        <v>0</v>
      </c>
      <c r="S575" t="s">
        <v>1029</v>
      </c>
      <c r="T575" t="str">
        <f>_xlfn.TEXTBEFORE(Table2[[#This Row],[category &amp; sub-category]],"/")</f>
        <v>journalism</v>
      </c>
      <c r="U575" t="str">
        <f>_xlfn.TEXTAFTER(Table2[[#This Row],[category &amp; sub-category]],"/")</f>
        <v>audio</v>
      </c>
    </row>
    <row r="576" spans="1:21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5">
        <f>100*Table2[[#This Row],[pledged]]/Table2[[#This Row],[goal]]</f>
        <v>369.14814814814815</v>
      </c>
      <c r="G576" t="s">
        <v>20</v>
      </c>
      <c r="H576">
        <v>144</v>
      </c>
      <c r="I576" s="4">
        <f>IF(Table2[[#This Row],[pledged]]&gt;0,Table2[[#This Row],[pledged]]/Table2[[#This Row],[backers_count]],0)</f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8">
        <f t="shared" si="16"/>
        <v>43806.25</v>
      </c>
      <c r="O576" s="8">
        <f t="shared" si="17"/>
        <v>43816.25</v>
      </c>
      <c r="P576" s="5">
        <f>_xlfn.DAYS(Table2[[#This Row],[Date Ended Conversion]],Table2[[#This Row],[Date Created Conversion]])+1</f>
        <v>11</v>
      </c>
      <c r="Q576" t="b">
        <v>0</v>
      </c>
      <c r="R576" t="b">
        <v>1</v>
      </c>
      <c r="S576" t="s">
        <v>17</v>
      </c>
      <c r="T576" t="str">
        <f>_xlfn.TEXTBEFORE(Table2[[#This Row],[category &amp; sub-category]],"/")</f>
        <v>food</v>
      </c>
      <c r="U576" t="str">
        <f>_xlfn.TEXTAFTER(Table2[[#This Row],[category &amp; sub-category]],"/")</f>
        <v>food trucks</v>
      </c>
    </row>
    <row r="577" spans="1:21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5">
        <f>100*Table2[[#This Row],[pledged]]/Table2[[#This Row],[goal]]</f>
        <v>62.930372148859547</v>
      </c>
      <c r="G577" t="s">
        <v>14</v>
      </c>
      <c r="H577">
        <v>558</v>
      </c>
      <c r="I577" s="4">
        <f>IF(Table2[[#This Row],[pledged]]&gt;0,Table2[[#This Row],[pledged]]/Table2[[#This Row],[backers_count]],0)</f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8">
        <f t="shared" si="16"/>
        <v>41779.208333333336</v>
      </c>
      <c r="O577" s="8">
        <f t="shared" si="17"/>
        <v>41782.208333333336</v>
      </c>
      <c r="P577" s="5">
        <f>_xlfn.DAYS(Table2[[#This Row],[Date Ended Conversion]],Table2[[#This Row],[Date Created Conversion]])+1</f>
        <v>4</v>
      </c>
      <c r="Q577" t="b">
        <v>0</v>
      </c>
      <c r="R577" t="b">
        <v>1</v>
      </c>
      <c r="S577" t="s">
        <v>33</v>
      </c>
      <c r="T577" t="str">
        <f>_xlfn.TEXTBEFORE(Table2[[#This Row],[category &amp; sub-category]],"/")</f>
        <v>theater</v>
      </c>
      <c r="U577" t="str">
        <f>_xlfn.TEXTAFTER(Table2[[#This Row],[category &amp; sub-category]],"/")</f>
        <v>plays</v>
      </c>
    </row>
    <row r="578" spans="1:21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5">
        <f>100*Table2[[#This Row],[pledged]]/Table2[[#This Row],[goal]]</f>
        <v>64.927835051546396</v>
      </c>
      <c r="G578" t="s">
        <v>14</v>
      </c>
      <c r="H578">
        <v>64</v>
      </c>
      <c r="I578" s="4">
        <f>IF(Table2[[#This Row],[pledged]]&gt;0,Table2[[#This Row],[pledged]]/Table2[[#This Row],[backers_count]],0)</f>
        <v>98.40625</v>
      </c>
      <c r="J578" t="s">
        <v>21</v>
      </c>
      <c r="K578" t="s">
        <v>22</v>
      </c>
      <c r="L578">
        <v>1509512400</v>
      </c>
      <c r="M578">
        <v>1510984800</v>
      </c>
      <c r="N578" s="8">
        <f t="shared" ref="N578:N641" si="18">(((L578/60)/60)/24)+DATE(1970,1,1)</f>
        <v>43040.208333333328</v>
      </c>
      <c r="O578" s="8">
        <f t="shared" ref="O578:O641" si="19">(((M578/60)/60)/24)+DATE(1970,1,1)</f>
        <v>43057.25</v>
      </c>
      <c r="P578" s="5">
        <f>_xlfn.DAYS(Table2[[#This Row],[Date Ended Conversion]],Table2[[#This Row],[Date Created Conversion]])+1</f>
        <v>18</v>
      </c>
      <c r="Q578" t="b">
        <v>0</v>
      </c>
      <c r="R578" t="b">
        <v>0</v>
      </c>
      <c r="S578" t="s">
        <v>33</v>
      </c>
      <c r="T578" t="str">
        <f>_xlfn.TEXTBEFORE(Table2[[#This Row],[category &amp; sub-category]],"/")</f>
        <v>theater</v>
      </c>
      <c r="U578" t="str">
        <f>_xlfn.TEXTAFTER(Table2[[#This Row],[category &amp; sub-category]],"/")</f>
        <v>plays</v>
      </c>
    </row>
    <row r="579" spans="1:21" ht="17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5">
        <f>100*Table2[[#This Row],[pledged]]/Table2[[#This Row],[goal]]</f>
        <v>18.853658536585368</v>
      </c>
      <c r="G579" t="s">
        <v>74</v>
      </c>
      <c r="H579">
        <v>37</v>
      </c>
      <c r="I579" s="4">
        <f>IF(Table2[[#This Row],[pledged]]&gt;0,Table2[[#This Row],[pledged]]/Table2[[#This Row],[backers_count]],0)</f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8">
        <f t="shared" si="18"/>
        <v>40613.25</v>
      </c>
      <c r="O579" s="8">
        <f t="shared" si="19"/>
        <v>40639.208333333336</v>
      </c>
      <c r="P579" s="5">
        <f>_xlfn.DAYS(Table2[[#This Row],[Date Ended Conversion]],Table2[[#This Row],[Date Created Conversion]])+1</f>
        <v>27</v>
      </c>
      <c r="Q579" t="b">
        <v>0</v>
      </c>
      <c r="R579" t="b">
        <v>0</v>
      </c>
      <c r="S579" t="s">
        <v>159</v>
      </c>
      <c r="T579" t="str">
        <f>_xlfn.TEXTBEFORE(Table2[[#This Row],[category &amp; sub-category]],"/")</f>
        <v>music</v>
      </c>
      <c r="U579" t="str">
        <f>_xlfn.TEXTAFTER(Table2[[#This Row],[category &amp; sub-category]],"/")</f>
        <v>jazz</v>
      </c>
    </row>
    <row r="580" spans="1:21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5">
        <f>100*Table2[[#This Row],[pledged]]/Table2[[#This Row],[goal]]</f>
        <v>16.754404145077721</v>
      </c>
      <c r="G580" t="s">
        <v>14</v>
      </c>
      <c r="H580">
        <v>245</v>
      </c>
      <c r="I580" s="4">
        <f>IF(Table2[[#This Row],[pledged]]&gt;0,Table2[[#This Row],[pledged]]/Table2[[#This Row],[backers_count]],0)</f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8">
        <f t="shared" si="18"/>
        <v>40878.25</v>
      </c>
      <c r="O580" s="8">
        <f t="shared" si="19"/>
        <v>40881.25</v>
      </c>
      <c r="P580" s="5">
        <f>_xlfn.DAYS(Table2[[#This Row],[Date Ended Conversion]],Table2[[#This Row],[Date Created Conversion]])+1</f>
        <v>4</v>
      </c>
      <c r="Q580" t="b">
        <v>0</v>
      </c>
      <c r="R580" t="b">
        <v>0</v>
      </c>
      <c r="S580" t="s">
        <v>474</v>
      </c>
      <c r="T580" t="str">
        <f>_xlfn.TEXTBEFORE(Table2[[#This Row],[category &amp; sub-category]],"/")</f>
        <v>film &amp; video</v>
      </c>
      <c r="U580" t="str">
        <f>_xlfn.TEXTAFTER(Table2[[#This Row],[category &amp; sub-category]],"/")</f>
        <v>science fiction</v>
      </c>
    </row>
    <row r="581" spans="1:21" ht="17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5">
        <f>100*Table2[[#This Row],[pledged]]/Table2[[#This Row],[goal]]</f>
        <v>101.11290322580645</v>
      </c>
      <c r="G581" t="s">
        <v>20</v>
      </c>
      <c r="H581">
        <v>87</v>
      </c>
      <c r="I581" s="4">
        <f>IF(Table2[[#This Row],[pledged]]&gt;0,Table2[[#This Row],[pledged]]/Table2[[#This Row],[backers_count]],0)</f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8">
        <f t="shared" si="18"/>
        <v>40762.208333333336</v>
      </c>
      <c r="O581" s="8">
        <f t="shared" si="19"/>
        <v>40774.208333333336</v>
      </c>
      <c r="P581" s="5">
        <f>_xlfn.DAYS(Table2[[#This Row],[Date Ended Conversion]],Table2[[#This Row],[Date Created Conversion]])+1</f>
        <v>13</v>
      </c>
      <c r="Q581" t="b">
        <v>0</v>
      </c>
      <c r="R581" t="b">
        <v>0</v>
      </c>
      <c r="S581" t="s">
        <v>159</v>
      </c>
      <c r="T581" t="str">
        <f>_xlfn.TEXTBEFORE(Table2[[#This Row],[category &amp; sub-category]],"/")</f>
        <v>music</v>
      </c>
      <c r="U581" t="str">
        <f>_xlfn.TEXTAFTER(Table2[[#This Row],[category &amp; sub-category]],"/")</f>
        <v>jazz</v>
      </c>
    </row>
    <row r="582" spans="1:21" ht="17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5">
        <f>100*Table2[[#This Row],[pledged]]/Table2[[#This Row],[goal]]</f>
        <v>341.50228310502285</v>
      </c>
      <c r="G582" t="s">
        <v>20</v>
      </c>
      <c r="H582">
        <v>3116</v>
      </c>
      <c r="I582" s="4">
        <f>IF(Table2[[#This Row],[pledged]]&gt;0,Table2[[#This Row],[pledged]]/Table2[[#This Row],[backers_count]],0)</f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8">
        <f t="shared" si="18"/>
        <v>41696.25</v>
      </c>
      <c r="O582" s="8">
        <f t="shared" si="19"/>
        <v>41704.25</v>
      </c>
      <c r="P582" s="5">
        <f>_xlfn.DAYS(Table2[[#This Row],[Date Ended Conversion]],Table2[[#This Row],[Date Created Conversion]])+1</f>
        <v>9</v>
      </c>
      <c r="Q582" t="b">
        <v>0</v>
      </c>
      <c r="R582" t="b">
        <v>0</v>
      </c>
      <c r="S582" t="s">
        <v>33</v>
      </c>
      <c r="T582" t="str">
        <f>_xlfn.TEXTBEFORE(Table2[[#This Row],[category &amp; sub-category]],"/")</f>
        <v>theater</v>
      </c>
      <c r="U582" t="str">
        <f>_xlfn.TEXTAFTER(Table2[[#This Row],[category &amp; sub-category]],"/")</f>
        <v>plays</v>
      </c>
    </row>
    <row r="583" spans="1:21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5">
        <f>100*Table2[[#This Row],[pledged]]/Table2[[#This Row],[goal]]</f>
        <v>64.016666666666666</v>
      </c>
      <c r="G583" t="s">
        <v>14</v>
      </c>
      <c r="H583">
        <v>71</v>
      </c>
      <c r="I583" s="4">
        <f>IF(Table2[[#This Row],[pledged]]&gt;0,Table2[[#This Row],[pledged]]/Table2[[#This Row],[backers_count]],0)</f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8">
        <f t="shared" si="18"/>
        <v>40662.208333333336</v>
      </c>
      <c r="O583" s="8">
        <f t="shared" si="19"/>
        <v>40677.208333333336</v>
      </c>
      <c r="P583" s="5">
        <f>_xlfn.DAYS(Table2[[#This Row],[Date Ended Conversion]],Table2[[#This Row],[Date Created Conversion]])+1</f>
        <v>16</v>
      </c>
      <c r="Q583" t="b">
        <v>0</v>
      </c>
      <c r="R583" t="b">
        <v>0</v>
      </c>
      <c r="S583" t="s">
        <v>28</v>
      </c>
      <c r="T583" t="str">
        <f>_xlfn.TEXTBEFORE(Table2[[#This Row],[category &amp; sub-category]],"/")</f>
        <v>technology</v>
      </c>
      <c r="U583" t="str">
        <f>_xlfn.TEXTAFTER(Table2[[#This Row],[category &amp; sub-category]],"/")</f>
        <v>web</v>
      </c>
    </row>
    <row r="584" spans="1:21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5">
        <f>100*Table2[[#This Row],[pledged]]/Table2[[#This Row],[goal]]</f>
        <v>52.080459770114942</v>
      </c>
      <c r="G584" t="s">
        <v>14</v>
      </c>
      <c r="H584">
        <v>42</v>
      </c>
      <c r="I584" s="4">
        <f>IF(Table2[[#This Row],[pledged]]&gt;0,Table2[[#This Row],[pledged]]/Table2[[#This Row],[backers_count]],0)</f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8">
        <f t="shared" si="18"/>
        <v>42165.208333333328</v>
      </c>
      <c r="O584" s="8">
        <f t="shared" si="19"/>
        <v>42170.208333333328</v>
      </c>
      <c r="P584" s="5">
        <f>_xlfn.DAYS(Table2[[#This Row],[Date Ended Conversion]],Table2[[#This Row],[Date Created Conversion]])+1</f>
        <v>6</v>
      </c>
      <c r="Q584" t="b">
        <v>0</v>
      </c>
      <c r="R584" t="b">
        <v>1</v>
      </c>
      <c r="S584" t="s">
        <v>89</v>
      </c>
      <c r="T584" t="str">
        <f>_xlfn.TEXTBEFORE(Table2[[#This Row],[category &amp; sub-category]],"/")</f>
        <v>games</v>
      </c>
      <c r="U584" t="str">
        <f>_xlfn.TEXTAFTER(Table2[[#This Row],[category &amp; sub-category]],"/")</f>
        <v>video games</v>
      </c>
    </row>
    <row r="585" spans="1:21" ht="34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5">
        <f>100*Table2[[#This Row],[pledged]]/Table2[[#This Row],[goal]]</f>
        <v>322.40211640211641</v>
      </c>
      <c r="G585" t="s">
        <v>20</v>
      </c>
      <c r="H585">
        <v>909</v>
      </c>
      <c r="I585" s="4">
        <f>IF(Table2[[#This Row],[pledged]]&gt;0,Table2[[#This Row],[pledged]]/Table2[[#This Row],[backers_count]],0)</f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8">
        <f t="shared" si="18"/>
        <v>40959.25</v>
      </c>
      <c r="O585" s="8">
        <f t="shared" si="19"/>
        <v>40976.25</v>
      </c>
      <c r="P585" s="5">
        <f>_xlfn.DAYS(Table2[[#This Row],[Date Ended Conversion]],Table2[[#This Row],[Date Created Conversion]])+1</f>
        <v>18</v>
      </c>
      <c r="Q585" t="b">
        <v>0</v>
      </c>
      <c r="R585" t="b">
        <v>0</v>
      </c>
      <c r="S585" t="s">
        <v>42</v>
      </c>
      <c r="T585" t="str">
        <f>_xlfn.TEXTBEFORE(Table2[[#This Row],[category &amp; sub-category]],"/")</f>
        <v>film &amp; video</v>
      </c>
      <c r="U585" t="str">
        <f>_xlfn.TEXTAFTER(Table2[[#This Row],[category &amp; sub-category]],"/")</f>
        <v>documentary</v>
      </c>
    </row>
    <row r="586" spans="1:21" ht="34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5">
        <f>100*Table2[[#This Row],[pledged]]/Table2[[#This Row],[goal]]</f>
        <v>119.50810185185185</v>
      </c>
      <c r="G586" t="s">
        <v>20</v>
      </c>
      <c r="H586">
        <v>1613</v>
      </c>
      <c r="I586" s="4">
        <f>IF(Table2[[#This Row],[pledged]]&gt;0,Table2[[#This Row],[pledged]]/Table2[[#This Row],[backers_count]],0)</f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8">
        <f t="shared" si="18"/>
        <v>41024.208333333336</v>
      </c>
      <c r="O586" s="8">
        <f t="shared" si="19"/>
        <v>41038.208333333336</v>
      </c>
      <c r="P586" s="5">
        <f>_xlfn.DAYS(Table2[[#This Row],[Date Ended Conversion]],Table2[[#This Row],[Date Created Conversion]])+1</f>
        <v>15</v>
      </c>
      <c r="Q586" t="b">
        <v>0</v>
      </c>
      <c r="R586" t="b">
        <v>0</v>
      </c>
      <c r="S586" t="s">
        <v>28</v>
      </c>
      <c r="T586" t="str">
        <f>_xlfn.TEXTBEFORE(Table2[[#This Row],[category &amp; sub-category]],"/")</f>
        <v>technology</v>
      </c>
      <c r="U586" t="str">
        <f>_xlfn.TEXTAFTER(Table2[[#This Row],[category &amp; sub-category]],"/")</f>
        <v>web</v>
      </c>
    </row>
    <row r="587" spans="1:21" ht="17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5">
        <f>100*Table2[[#This Row],[pledged]]/Table2[[#This Row],[goal]]</f>
        <v>146.79775280898878</v>
      </c>
      <c r="G587" t="s">
        <v>20</v>
      </c>
      <c r="H587">
        <v>136</v>
      </c>
      <c r="I587" s="4">
        <f>IF(Table2[[#This Row],[pledged]]&gt;0,Table2[[#This Row],[pledged]]/Table2[[#This Row],[backers_count]],0)</f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8">
        <f t="shared" si="18"/>
        <v>40255.208333333336</v>
      </c>
      <c r="O587" s="8">
        <f t="shared" si="19"/>
        <v>40265.208333333336</v>
      </c>
      <c r="P587" s="5">
        <f>_xlfn.DAYS(Table2[[#This Row],[Date Ended Conversion]],Table2[[#This Row],[Date Created Conversion]])+1</f>
        <v>11</v>
      </c>
      <c r="Q587" t="b">
        <v>0</v>
      </c>
      <c r="R587" t="b">
        <v>0</v>
      </c>
      <c r="S587" t="s">
        <v>206</v>
      </c>
      <c r="T587" t="str">
        <f>_xlfn.TEXTBEFORE(Table2[[#This Row],[category &amp; sub-category]],"/")</f>
        <v>publishing</v>
      </c>
      <c r="U587" t="str">
        <f>_xlfn.TEXTAFTER(Table2[[#This Row],[category &amp; sub-category]],"/")</f>
        <v>translations</v>
      </c>
    </row>
    <row r="588" spans="1:21" ht="17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5">
        <f>100*Table2[[#This Row],[pledged]]/Table2[[#This Row],[goal]]</f>
        <v>950.57142857142856</v>
      </c>
      <c r="G588" t="s">
        <v>20</v>
      </c>
      <c r="H588">
        <v>130</v>
      </c>
      <c r="I588" s="4">
        <f>IF(Table2[[#This Row],[pledged]]&gt;0,Table2[[#This Row],[pledged]]/Table2[[#This Row],[backers_count]],0)</f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8">
        <f t="shared" si="18"/>
        <v>40499.25</v>
      </c>
      <c r="O588" s="8">
        <f t="shared" si="19"/>
        <v>40518.25</v>
      </c>
      <c r="P588" s="5">
        <f>_xlfn.DAYS(Table2[[#This Row],[Date Ended Conversion]],Table2[[#This Row],[Date Created Conversion]])+1</f>
        <v>20</v>
      </c>
      <c r="Q588" t="b">
        <v>0</v>
      </c>
      <c r="R588" t="b">
        <v>0</v>
      </c>
      <c r="S588" t="s">
        <v>23</v>
      </c>
      <c r="T588" t="str">
        <f>_xlfn.TEXTBEFORE(Table2[[#This Row],[category &amp; sub-category]],"/")</f>
        <v>music</v>
      </c>
      <c r="U588" t="str">
        <f>_xlfn.TEXTAFTER(Table2[[#This Row],[category &amp; sub-category]],"/")</f>
        <v>rock</v>
      </c>
    </row>
    <row r="589" spans="1:21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5">
        <f>100*Table2[[#This Row],[pledged]]/Table2[[#This Row],[goal]]</f>
        <v>72.893617021276597</v>
      </c>
      <c r="G589" t="s">
        <v>14</v>
      </c>
      <c r="H589">
        <v>156</v>
      </c>
      <c r="I589" s="4">
        <f>IF(Table2[[#This Row],[pledged]]&gt;0,Table2[[#This Row],[pledged]]/Table2[[#This Row],[backers_count]],0)</f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8">
        <f t="shared" si="18"/>
        <v>43484.25</v>
      </c>
      <c r="O589" s="8">
        <f t="shared" si="19"/>
        <v>43536.208333333328</v>
      </c>
      <c r="P589" s="5">
        <f>_xlfn.DAYS(Table2[[#This Row],[Date Ended Conversion]],Table2[[#This Row],[Date Created Conversion]])+1</f>
        <v>53</v>
      </c>
      <c r="Q589" t="b">
        <v>0</v>
      </c>
      <c r="R589" t="b">
        <v>1</v>
      </c>
      <c r="S589" t="s">
        <v>17</v>
      </c>
      <c r="T589" t="str">
        <f>_xlfn.TEXTBEFORE(Table2[[#This Row],[category &amp; sub-category]],"/")</f>
        <v>food</v>
      </c>
      <c r="U589" t="str">
        <f>_xlfn.TEXTAFTER(Table2[[#This Row],[category &amp; sub-category]],"/")</f>
        <v>food trucks</v>
      </c>
    </row>
    <row r="590" spans="1:21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5">
        <f>100*Table2[[#This Row],[pledged]]/Table2[[#This Row],[goal]]</f>
        <v>79.008248730964468</v>
      </c>
      <c r="G590" t="s">
        <v>14</v>
      </c>
      <c r="H590">
        <v>1368</v>
      </c>
      <c r="I590" s="4">
        <f>IF(Table2[[#This Row],[pledged]]&gt;0,Table2[[#This Row],[pledged]]/Table2[[#This Row],[backers_count]],0)</f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8">
        <f t="shared" si="18"/>
        <v>40262.208333333336</v>
      </c>
      <c r="O590" s="8">
        <f t="shared" si="19"/>
        <v>40293.208333333336</v>
      </c>
      <c r="P590" s="5">
        <f>_xlfn.DAYS(Table2[[#This Row],[Date Ended Conversion]],Table2[[#This Row],[Date Created Conversion]])+1</f>
        <v>32</v>
      </c>
      <c r="Q590" t="b">
        <v>0</v>
      </c>
      <c r="R590" t="b">
        <v>0</v>
      </c>
      <c r="S590" t="s">
        <v>33</v>
      </c>
      <c r="T590" t="str">
        <f>_xlfn.TEXTBEFORE(Table2[[#This Row],[category &amp; sub-category]],"/")</f>
        <v>theater</v>
      </c>
      <c r="U590" t="str">
        <f>_xlfn.TEXTAFTER(Table2[[#This Row],[category &amp; sub-category]],"/")</f>
        <v>plays</v>
      </c>
    </row>
    <row r="591" spans="1:21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5">
        <f>100*Table2[[#This Row],[pledged]]/Table2[[#This Row],[goal]]</f>
        <v>64.721518987341767</v>
      </c>
      <c r="G591" t="s">
        <v>14</v>
      </c>
      <c r="H591">
        <v>102</v>
      </c>
      <c r="I591" s="4">
        <f>IF(Table2[[#This Row],[pledged]]&gt;0,Table2[[#This Row],[pledged]]/Table2[[#This Row],[backers_count]],0)</f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8">
        <f t="shared" si="18"/>
        <v>42190.208333333328</v>
      </c>
      <c r="O591" s="8">
        <f t="shared" si="19"/>
        <v>42197.208333333328</v>
      </c>
      <c r="P591" s="5">
        <f>_xlfn.DAYS(Table2[[#This Row],[Date Ended Conversion]],Table2[[#This Row],[Date Created Conversion]])+1</f>
        <v>8</v>
      </c>
      <c r="Q591" t="b">
        <v>0</v>
      </c>
      <c r="R591" t="b">
        <v>0</v>
      </c>
      <c r="S591" t="s">
        <v>42</v>
      </c>
      <c r="T591" t="str">
        <f>_xlfn.TEXTBEFORE(Table2[[#This Row],[category &amp; sub-category]],"/")</f>
        <v>film &amp; video</v>
      </c>
      <c r="U591" t="str">
        <f>_xlfn.TEXTAFTER(Table2[[#This Row],[category &amp; sub-category]],"/")</f>
        <v>documentary</v>
      </c>
    </row>
    <row r="592" spans="1:21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5">
        <f>100*Table2[[#This Row],[pledged]]/Table2[[#This Row],[goal]]</f>
        <v>82.028169014084511</v>
      </c>
      <c r="G592" t="s">
        <v>14</v>
      </c>
      <c r="H592">
        <v>86</v>
      </c>
      <c r="I592" s="4">
        <f>IF(Table2[[#This Row],[pledged]]&gt;0,Table2[[#This Row],[pledged]]/Table2[[#This Row],[backers_count]],0)</f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8">
        <f t="shared" si="18"/>
        <v>41994.25</v>
      </c>
      <c r="O592" s="8">
        <f t="shared" si="19"/>
        <v>42005.25</v>
      </c>
      <c r="P592" s="5">
        <f>_xlfn.DAYS(Table2[[#This Row],[Date Ended Conversion]],Table2[[#This Row],[Date Created Conversion]])+1</f>
        <v>12</v>
      </c>
      <c r="Q592" t="b">
        <v>0</v>
      </c>
      <c r="R592" t="b">
        <v>0</v>
      </c>
      <c r="S592" t="s">
        <v>133</v>
      </c>
      <c r="T592" t="str">
        <f>_xlfn.TEXTBEFORE(Table2[[#This Row],[category &amp; sub-category]],"/")</f>
        <v>publishing</v>
      </c>
      <c r="U592" t="str">
        <f>_xlfn.TEXTAFTER(Table2[[#This Row],[category &amp; sub-category]],"/")</f>
        <v>radio &amp; podcasts</v>
      </c>
    </row>
    <row r="593" spans="1:21" ht="17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5">
        <f>100*Table2[[#This Row],[pledged]]/Table2[[#This Row],[goal]]</f>
        <v>1037.6666666666667</v>
      </c>
      <c r="G593" t="s">
        <v>20</v>
      </c>
      <c r="H593">
        <v>102</v>
      </c>
      <c r="I593" s="4">
        <f>IF(Table2[[#This Row],[pledged]]&gt;0,Table2[[#This Row],[pledged]]/Table2[[#This Row],[backers_count]],0)</f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8">
        <f t="shared" si="18"/>
        <v>40373.208333333336</v>
      </c>
      <c r="O593" s="8">
        <f t="shared" si="19"/>
        <v>40383.208333333336</v>
      </c>
      <c r="P593" s="5">
        <f>_xlfn.DAYS(Table2[[#This Row],[Date Ended Conversion]],Table2[[#This Row],[Date Created Conversion]])+1</f>
        <v>11</v>
      </c>
      <c r="Q593" t="b">
        <v>0</v>
      </c>
      <c r="R593" t="b">
        <v>0</v>
      </c>
      <c r="S593" t="s">
        <v>89</v>
      </c>
      <c r="T593" t="str">
        <f>_xlfn.TEXTBEFORE(Table2[[#This Row],[category &amp; sub-category]],"/")</f>
        <v>games</v>
      </c>
      <c r="U593" t="str">
        <f>_xlfn.TEXTAFTER(Table2[[#This Row],[category &amp; sub-category]],"/")</f>
        <v>video games</v>
      </c>
    </row>
    <row r="594" spans="1:21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5">
        <f>100*Table2[[#This Row],[pledged]]/Table2[[#This Row],[goal]]</f>
        <v>12.910076530612244</v>
      </c>
      <c r="G594" t="s">
        <v>14</v>
      </c>
      <c r="H594">
        <v>253</v>
      </c>
      <c r="I594" s="4">
        <f>IF(Table2[[#This Row],[pledged]]&gt;0,Table2[[#This Row],[pledged]]/Table2[[#This Row],[backers_count]],0)</f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8">
        <f t="shared" si="18"/>
        <v>41789.208333333336</v>
      </c>
      <c r="O594" s="8">
        <f t="shared" si="19"/>
        <v>41798.208333333336</v>
      </c>
      <c r="P594" s="5">
        <f>_xlfn.DAYS(Table2[[#This Row],[Date Ended Conversion]],Table2[[#This Row],[Date Created Conversion]])+1</f>
        <v>10</v>
      </c>
      <c r="Q594" t="b">
        <v>0</v>
      </c>
      <c r="R594" t="b">
        <v>0</v>
      </c>
      <c r="S594" t="s">
        <v>33</v>
      </c>
      <c r="T594" t="str">
        <f>_xlfn.TEXTBEFORE(Table2[[#This Row],[category &amp; sub-category]],"/")</f>
        <v>theater</v>
      </c>
      <c r="U594" t="str">
        <f>_xlfn.TEXTAFTER(Table2[[#This Row],[category &amp; sub-category]],"/")</f>
        <v>plays</v>
      </c>
    </row>
    <row r="595" spans="1:21" ht="17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5">
        <f>100*Table2[[#This Row],[pledged]]/Table2[[#This Row],[goal]]</f>
        <v>154.84210526315789</v>
      </c>
      <c r="G595" t="s">
        <v>20</v>
      </c>
      <c r="H595">
        <v>4006</v>
      </c>
      <c r="I595" s="4">
        <f>IF(Table2[[#This Row],[pledged]]&gt;0,Table2[[#This Row],[pledged]]/Table2[[#This Row],[backers_count]],0)</f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8">
        <f t="shared" si="18"/>
        <v>41724.208333333336</v>
      </c>
      <c r="O595" s="8">
        <f t="shared" si="19"/>
        <v>41737.208333333336</v>
      </c>
      <c r="P595" s="5">
        <f>_xlfn.DAYS(Table2[[#This Row],[Date Ended Conversion]],Table2[[#This Row],[Date Created Conversion]])+1</f>
        <v>14</v>
      </c>
      <c r="Q595" t="b">
        <v>0</v>
      </c>
      <c r="R595" t="b">
        <v>0</v>
      </c>
      <c r="S595" t="s">
        <v>71</v>
      </c>
      <c r="T595" t="str">
        <f>_xlfn.TEXTBEFORE(Table2[[#This Row],[category &amp; sub-category]],"/")</f>
        <v>film &amp; video</v>
      </c>
      <c r="U595" t="str">
        <f>_xlfn.TEXTAFTER(Table2[[#This Row],[category &amp; sub-category]],"/")</f>
        <v>animation</v>
      </c>
    </row>
    <row r="596" spans="1:21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5">
        <f>100*Table2[[#This Row],[pledged]]/Table2[[#This Row],[goal]]</f>
        <v>7.0991735537190079</v>
      </c>
      <c r="G596" t="s">
        <v>14</v>
      </c>
      <c r="H596">
        <v>157</v>
      </c>
      <c r="I596" s="4">
        <f>IF(Table2[[#This Row],[pledged]]&gt;0,Table2[[#This Row],[pledged]]/Table2[[#This Row],[backers_count]],0)</f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8">
        <f t="shared" si="18"/>
        <v>42548.208333333328</v>
      </c>
      <c r="O596" s="8">
        <f t="shared" si="19"/>
        <v>42551.208333333328</v>
      </c>
      <c r="P596" s="5">
        <f>_xlfn.DAYS(Table2[[#This Row],[Date Ended Conversion]],Table2[[#This Row],[Date Created Conversion]])+1</f>
        <v>4</v>
      </c>
      <c r="Q596" t="b">
        <v>0</v>
      </c>
      <c r="R596" t="b">
        <v>1</v>
      </c>
      <c r="S596" t="s">
        <v>33</v>
      </c>
      <c r="T596" t="str">
        <f>_xlfn.TEXTBEFORE(Table2[[#This Row],[category &amp; sub-category]],"/")</f>
        <v>theater</v>
      </c>
      <c r="U596" t="str">
        <f>_xlfn.TEXTAFTER(Table2[[#This Row],[category &amp; sub-category]],"/")</f>
        <v>plays</v>
      </c>
    </row>
    <row r="597" spans="1:21" ht="34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5">
        <f>100*Table2[[#This Row],[pledged]]/Table2[[#This Row],[goal]]</f>
        <v>208.52773826458036</v>
      </c>
      <c r="G597" t="s">
        <v>20</v>
      </c>
      <c r="H597">
        <v>1629</v>
      </c>
      <c r="I597" s="4">
        <f>IF(Table2[[#This Row],[pledged]]&gt;0,Table2[[#This Row],[pledged]]/Table2[[#This Row],[backers_count]],0)</f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8">
        <f t="shared" si="18"/>
        <v>40253.208333333336</v>
      </c>
      <c r="O597" s="8">
        <f t="shared" si="19"/>
        <v>40274.208333333336</v>
      </c>
      <c r="P597" s="5">
        <f>_xlfn.DAYS(Table2[[#This Row],[Date Ended Conversion]],Table2[[#This Row],[Date Created Conversion]])+1</f>
        <v>22</v>
      </c>
      <c r="Q597" t="b">
        <v>0</v>
      </c>
      <c r="R597" t="b">
        <v>1</v>
      </c>
      <c r="S597" t="s">
        <v>33</v>
      </c>
      <c r="T597" t="str">
        <f>_xlfn.TEXTBEFORE(Table2[[#This Row],[category &amp; sub-category]],"/")</f>
        <v>theater</v>
      </c>
      <c r="U597" t="str">
        <f>_xlfn.TEXTAFTER(Table2[[#This Row],[category &amp; sub-category]],"/")</f>
        <v>plays</v>
      </c>
    </row>
    <row r="598" spans="1:21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5">
        <f>100*Table2[[#This Row],[pledged]]/Table2[[#This Row],[goal]]</f>
        <v>99.683544303797461</v>
      </c>
      <c r="G598" t="s">
        <v>14</v>
      </c>
      <c r="H598">
        <v>183</v>
      </c>
      <c r="I598" s="4">
        <f>IF(Table2[[#This Row],[pledged]]&gt;0,Table2[[#This Row],[pledged]]/Table2[[#This Row],[backers_count]],0)</f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8">
        <f t="shared" si="18"/>
        <v>42434.25</v>
      </c>
      <c r="O598" s="8">
        <f t="shared" si="19"/>
        <v>42441.25</v>
      </c>
      <c r="P598" s="5">
        <f>_xlfn.DAYS(Table2[[#This Row],[Date Ended Conversion]],Table2[[#This Row],[Date Created Conversion]])+1</f>
        <v>8</v>
      </c>
      <c r="Q598" t="b">
        <v>0</v>
      </c>
      <c r="R598" t="b">
        <v>1</v>
      </c>
      <c r="S598" t="s">
        <v>53</v>
      </c>
      <c r="T598" t="str">
        <f>_xlfn.TEXTBEFORE(Table2[[#This Row],[category &amp; sub-category]],"/")</f>
        <v>film &amp; video</v>
      </c>
      <c r="U598" t="str">
        <f>_xlfn.TEXTAFTER(Table2[[#This Row],[category &amp; sub-category]],"/")</f>
        <v>drama</v>
      </c>
    </row>
    <row r="599" spans="1:21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5">
        <f>100*Table2[[#This Row],[pledged]]/Table2[[#This Row],[goal]]</f>
        <v>201.59756097560975</v>
      </c>
      <c r="G599" t="s">
        <v>20</v>
      </c>
      <c r="H599">
        <v>2188</v>
      </c>
      <c r="I599" s="4">
        <f>IF(Table2[[#This Row],[pledged]]&gt;0,Table2[[#This Row],[pledged]]/Table2[[#This Row],[backers_count]],0)</f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8">
        <f t="shared" si="18"/>
        <v>43786.25</v>
      </c>
      <c r="O599" s="8">
        <f t="shared" si="19"/>
        <v>43804.25</v>
      </c>
      <c r="P599" s="5">
        <f>_xlfn.DAYS(Table2[[#This Row],[Date Ended Conversion]],Table2[[#This Row],[Date Created Conversion]])+1</f>
        <v>19</v>
      </c>
      <c r="Q599" t="b">
        <v>0</v>
      </c>
      <c r="R599" t="b">
        <v>0</v>
      </c>
      <c r="S599" t="s">
        <v>33</v>
      </c>
      <c r="T599" t="str">
        <f>_xlfn.TEXTBEFORE(Table2[[#This Row],[category &amp; sub-category]],"/")</f>
        <v>theater</v>
      </c>
      <c r="U599" t="str">
        <f>_xlfn.TEXTAFTER(Table2[[#This Row],[category &amp; sub-category]],"/")</f>
        <v>plays</v>
      </c>
    </row>
    <row r="600" spans="1:21" ht="17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5">
        <f>100*Table2[[#This Row],[pledged]]/Table2[[#This Row],[goal]]</f>
        <v>162.09032258064516</v>
      </c>
      <c r="G600" t="s">
        <v>20</v>
      </c>
      <c r="H600">
        <v>2409</v>
      </c>
      <c r="I600" s="4">
        <f>IF(Table2[[#This Row],[pledged]]&gt;0,Table2[[#This Row],[pledged]]/Table2[[#This Row],[backers_count]],0)</f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8">
        <f t="shared" si="18"/>
        <v>40344.208333333336</v>
      </c>
      <c r="O600" s="8">
        <f t="shared" si="19"/>
        <v>40373.208333333336</v>
      </c>
      <c r="P600" s="5">
        <f>_xlfn.DAYS(Table2[[#This Row],[Date Ended Conversion]],Table2[[#This Row],[Date Created Conversion]])+1</f>
        <v>30</v>
      </c>
      <c r="Q600" t="b">
        <v>0</v>
      </c>
      <c r="R600" t="b">
        <v>0</v>
      </c>
      <c r="S600" t="s">
        <v>23</v>
      </c>
      <c r="T600" t="str">
        <f>_xlfn.TEXTBEFORE(Table2[[#This Row],[category &amp; sub-category]],"/")</f>
        <v>music</v>
      </c>
      <c r="U600" t="str">
        <f>_xlfn.TEXTAFTER(Table2[[#This Row],[category &amp; sub-category]],"/")</f>
        <v>rock</v>
      </c>
    </row>
    <row r="601" spans="1:21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5">
        <f>100*Table2[[#This Row],[pledged]]/Table2[[#This Row],[goal]]</f>
        <v>3.6436208125445475</v>
      </c>
      <c r="G601" t="s">
        <v>14</v>
      </c>
      <c r="H601">
        <v>82</v>
      </c>
      <c r="I601" s="4">
        <f>IF(Table2[[#This Row],[pledged]]&gt;0,Table2[[#This Row],[pledged]]/Table2[[#This Row],[backers_count]],0)</f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8">
        <f t="shared" si="18"/>
        <v>42047.25</v>
      </c>
      <c r="O601" s="8">
        <f t="shared" si="19"/>
        <v>42055.25</v>
      </c>
      <c r="P601" s="5">
        <f>_xlfn.DAYS(Table2[[#This Row],[Date Ended Conversion]],Table2[[#This Row],[Date Created Conversion]])+1</f>
        <v>9</v>
      </c>
      <c r="Q601" t="b">
        <v>0</v>
      </c>
      <c r="R601" t="b">
        <v>0</v>
      </c>
      <c r="S601" t="s">
        <v>42</v>
      </c>
      <c r="T601" t="str">
        <f>_xlfn.TEXTBEFORE(Table2[[#This Row],[category &amp; sub-category]],"/")</f>
        <v>film &amp; video</v>
      </c>
      <c r="U601" t="str">
        <f>_xlfn.TEXTAFTER(Table2[[#This Row],[category &amp; sub-category]],"/")</f>
        <v>documentary</v>
      </c>
    </row>
    <row r="602" spans="1:21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5">
        <f>100*Table2[[#This Row],[pledged]]/Table2[[#This Row],[goal]]</f>
        <v>5</v>
      </c>
      <c r="G602" t="s">
        <v>14</v>
      </c>
      <c r="H602">
        <v>1</v>
      </c>
      <c r="I602" s="4">
        <f>IF(Table2[[#This Row],[pledged]]&gt;0,Table2[[#This Row],[pledged]]/Table2[[#This Row],[backers_count]],0)</f>
        <v>5</v>
      </c>
      <c r="J602" t="s">
        <v>40</v>
      </c>
      <c r="K602" t="s">
        <v>41</v>
      </c>
      <c r="L602">
        <v>1375160400</v>
      </c>
      <c r="M602">
        <v>1376197200</v>
      </c>
      <c r="N602" s="8">
        <f t="shared" si="18"/>
        <v>41485.208333333336</v>
      </c>
      <c r="O602" s="8">
        <f t="shared" si="19"/>
        <v>41497.208333333336</v>
      </c>
      <c r="P602" s="5">
        <f>_xlfn.DAYS(Table2[[#This Row],[Date Ended Conversion]],Table2[[#This Row],[Date Created Conversion]])+1</f>
        <v>13</v>
      </c>
      <c r="Q602" t="b">
        <v>0</v>
      </c>
      <c r="R602" t="b">
        <v>0</v>
      </c>
      <c r="S602" t="s">
        <v>17</v>
      </c>
      <c r="T602" t="str">
        <f>_xlfn.TEXTBEFORE(Table2[[#This Row],[category &amp; sub-category]],"/")</f>
        <v>food</v>
      </c>
      <c r="U602" t="str">
        <f>_xlfn.TEXTAFTER(Table2[[#This Row],[category &amp; sub-category]],"/")</f>
        <v>food trucks</v>
      </c>
    </row>
    <row r="603" spans="1:21" ht="17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5">
        <f>100*Table2[[#This Row],[pledged]]/Table2[[#This Row],[goal]]</f>
        <v>206.63492063492063</v>
      </c>
      <c r="G603" t="s">
        <v>20</v>
      </c>
      <c r="H603">
        <v>194</v>
      </c>
      <c r="I603" s="4">
        <f>IF(Table2[[#This Row],[pledged]]&gt;0,Table2[[#This Row],[pledged]]/Table2[[#This Row],[backers_count]],0)</f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8">
        <f t="shared" si="18"/>
        <v>41789.208333333336</v>
      </c>
      <c r="O603" s="8">
        <f t="shared" si="19"/>
        <v>41806.208333333336</v>
      </c>
      <c r="P603" s="5">
        <f>_xlfn.DAYS(Table2[[#This Row],[Date Ended Conversion]],Table2[[#This Row],[Date Created Conversion]])+1</f>
        <v>18</v>
      </c>
      <c r="Q603" t="b">
        <v>1</v>
      </c>
      <c r="R603" t="b">
        <v>0</v>
      </c>
      <c r="S603" t="s">
        <v>65</v>
      </c>
      <c r="T603" t="str">
        <f>_xlfn.TEXTBEFORE(Table2[[#This Row],[category &amp; sub-category]],"/")</f>
        <v>technology</v>
      </c>
      <c r="U603" t="str">
        <f>_xlfn.TEXTAFTER(Table2[[#This Row],[category &amp; sub-category]],"/")</f>
        <v>wearables</v>
      </c>
    </row>
    <row r="604" spans="1:21" ht="34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5">
        <f>100*Table2[[#This Row],[pledged]]/Table2[[#This Row],[goal]]</f>
        <v>128.23628691983123</v>
      </c>
      <c r="G604" t="s">
        <v>20</v>
      </c>
      <c r="H604">
        <v>1140</v>
      </c>
      <c r="I604" s="4">
        <f>IF(Table2[[#This Row],[pledged]]&gt;0,Table2[[#This Row],[pledged]]/Table2[[#This Row],[backers_count]],0)</f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8">
        <f t="shared" si="18"/>
        <v>42160.208333333328</v>
      </c>
      <c r="O604" s="8">
        <f t="shared" si="19"/>
        <v>42171.208333333328</v>
      </c>
      <c r="P604" s="5">
        <f>_xlfn.DAYS(Table2[[#This Row],[Date Ended Conversion]],Table2[[#This Row],[Date Created Conversion]])+1</f>
        <v>12</v>
      </c>
      <c r="Q604" t="b">
        <v>0</v>
      </c>
      <c r="R604" t="b">
        <v>0</v>
      </c>
      <c r="S604" t="s">
        <v>33</v>
      </c>
      <c r="T604" t="str">
        <f>_xlfn.TEXTBEFORE(Table2[[#This Row],[category &amp; sub-category]],"/")</f>
        <v>theater</v>
      </c>
      <c r="U604" t="str">
        <f>_xlfn.TEXTAFTER(Table2[[#This Row],[category &amp; sub-category]],"/")</f>
        <v>plays</v>
      </c>
    </row>
    <row r="605" spans="1:21" ht="17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5">
        <f>100*Table2[[#This Row],[pledged]]/Table2[[#This Row],[goal]]</f>
        <v>119.66037735849056</v>
      </c>
      <c r="G605" t="s">
        <v>20</v>
      </c>
      <c r="H605">
        <v>102</v>
      </c>
      <c r="I605" s="4">
        <f>IF(Table2[[#This Row],[pledged]]&gt;0,Table2[[#This Row],[pledged]]/Table2[[#This Row],[backers_count]],0)</f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8">
        <f t="shared" si="18"/>
        <v>43573.208333333328</v>
      </c>
      <c r="O605" s="8">
        <f t="shared" si="19"/>
        <v>43600.208333333328</v>
      </c>
      <c r="P605" s="5">
        <f>_xlfn.DAYS(Table2[[#This Row],[Date Ended Conversion]],Table2[[#This Row],[Date Created Conversion]])+1</f>
        <v>28</v>
      </c>
      <c r="Q605" t="b">
        <v>0</v>
      </c>
      <c r="R605" t="b">
        <v>0</v>
      </c>
      <c r="S605" t="s">
        <v>33</v>
      </c>
      <c r="T605" t="str">
        <f>_xlfn.TEXTBEFORE(Table2[[#This Row],[category &amp; sub-category]],"/")</f>
        <v>theater</v>
      </c>
      <c r="U605" t="str">
        <f>_xlfn.TEXTAFTER(Table2[[#This Row],[category &amp; sub-category]],"/")</f>
        <v>plays</v>
      </c>
    </row>
    <row r="606" spans="1:21" ht="17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5">
        <f>100*Table2[[#This Row],[pledged]]/Table2[[#This Row],[goal]]</f>
        <v>170.73055242390078</v>
      </c>
      <c r="G606" t="s">
        <v>20</v>
      </c>
      <c r="H606">
        <v>2857</v>
      </c>
      <c r="I606" s="4">
        <f>IF(Table2[[#This Row],[pledged]]&gt;0,Table2[[#This Row],[pledged]]/Table2[[#This Row],[backers_count]],0)</f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8">
        <f t="shared" si="18"/>
        <v>40565.25</v>
      </c>
      <c r="O606" s="8">
        <f t="shared" si="19"/>
        <v>40586.25</v>
      </c>
      <c r="P606" s="5">
        <f>_xlfn.DAYS(Table2[[#This Row],[Date Ended Conversion]],Table2[[#This Row],[Date Created Conversion]])+1</f>
        <v>22</v>
      </c>
      <c r="Q606" t="b">
        <v>0</v>
      </c>
      <c r="R606" t="b">
        <v>0</v>
      </c>
      <c r="S606" t="s">
        <v>33</v>
      </c>
      <c r="T606" t="str">
        <f>_xlfn.TEXTBEFORE(Table2[[#This Row],[category &amp; sub-category]],"/")</f>
        <v>theater</v>
      </c>
      <c r="U606" t="str">
        <f>_xlfn.TEXTAFTER(Table2[[#This Row],[category &amp; sub-category]],"/")</f>
        <v>plays</v>
      </c>
    </row>
    <row r="607" spans="1:21" ht="17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5">
        <f>100*Table2[[#This Row],[pledged]]/Table2[[#This Row],[goal]]</f>
        <v>187.21212121212122</v>
      </c>
      <c r="G607" t="s">
        <v>20</v>
      </c>
      <c r="H607">
        <v>107</v>
      </c>
      <c r="I607" s="4">
        <f>IF(Table2[[#This Row],[pledged]]&gt;0,Table2[[#This Row],[pledged]]/Table2[[#This Row],[backers_count]],0)</f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8">
        <f t="shared" si="18"/>
        <v>42280.208333333328</v>
      </c>
      <c r="O607" s="8">
        <f t="shared" si="19"/>
        <v>42321.25</v>
      </c>
      <c r="P607" s="5">
        <f>_xlfn.DAYS(Table2[[#This Row],[Date Ended Conversion]],Table2[[#This Row],[Date Created Conversion]])+1</f>
        <v>42</v>
      </c>
      <c r="Q607" t="b">
        <v>0</v>
      </c>
      <c r="R607" t="b">
        <v>0</v>
      </c>
      <c r="S607" t="s">
        <v>68</v>
      </c>
      <c r="T607" t="str">
        <f>_xlfn.TEXTBEFORE(Table2[[#This Row],[category &amp; sub-category]],"/")</f>
        <v>publishing</v>
      </c>
      <c r="U607" t="str">
        <f>_xlfn.TEXTAFTER(Table2[[#This Row],[category &amp; sub-category]],"/")</f>
        <v>nonfiction</v>
      </c>
    </row>
    <row r="608" spans="1:21" ht="17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5">
        <f>100*Table2[[#This Row],[pledged]]/Table2[[#This Row],[goal]]</f>
        <v>188.38235294117646</v>
      </c>
      <c r="G608" t="s">
        <v>20</v>
      </c>
      <c r="H608">
        <v>160</v>
      </c>
      <c r="I608" s="4">
        <f>IF(Table2[[#This Row],[pledged]]&gt;0,Table2[[#This Row],[pledged]]/Table2[[#This Row],[backers_count]],0)</f>
        <v>40.03125</v>
      </c>
      <c r="J608" t="s">
        <v>40</v>
      </c>
      <c r="K608" t="s">
        <v>41</v>
      </c>
      <c r="L608">
        <v>1457330400</v>
      </c>
      <c r="M608">
        <v>1458277200</v>
      </c>
      <c r="N608" s="8">
        <f t="shared" si="18"/>
        <v>42436.25</v>
      </c>
      <c r="O608" s="8">
        <f t="shared" si="19"/>
        <v>42447.208333333328</v>
      </c>
      <c r="P608" s="5">
        <f>_xlfn.DAYS(Table2[[#This Row],[Date Ended Conversion]],Table2[[#This Row],[Date Created Conversion]])+1</f>
        <v>12</v>
      </c>
      <c r="Q608" t="b">
        <v>0</v>
      </c>
      <c r="R608" t="b">
        <v>0</v>
      </c>
      <c r="S608" t="s">
        <v>23</v>
      </c>
      <c r="T608" t="str">
        <f>_xlfn.TEXTBEFORE(Table2[[#This Row],[category &amp; sub-category]],"/")</f>
        <v>music</v>
      </c>
      <c r="U608" t="str">
        <f>_xlfn.TEXTAFTER(Table2[[#This Row],[category &amp; sub-category]],"/")</f>
        <v>rock</v>
      </c>
    </row>
    <row r="609" spans="1:21" ht="17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5">
        <f>100*Table2[[#This Row],[pledged]]/Table2[[#This Row],[goal]]</f>
        <v>131.29869186046511</v>
      </c>
      <c r="G609" t="s">
        <v>20</v>
      </c>
      <c r="H609">
        <v>2230</v>
      </c>
      <c r="I609" s="4">
        <f>IF(Table2[[#This Row],[pledged]]&gt;0,Table2[[#This Row],[pledged]]/Table2[[#This Row],[backers_count]],0)</f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8">
        <f t="shared" si="18"/>
        <v>41721.208333333336</v>
      </c>
      <c r="O609" s="8">
        <f t="shared" si="19"/>
        <v>41723.208333333336</v>
      </c>
      <c r="P609" s="5">
        <f>_xlfn.DAYS(Table2[[#This Row],[Date Ended Conversion]],Table2[[#This Row],[Date Created Conversion]])+1</f>
        <v>3</v>
      </c>
      <c r="Q609" t="b">
        <v>0</v>
      </c>
      <c r="R609" t="b">
        <v>0</v>
      </c>
      <c r="S609" t="s">
        <v>17</v>
      </c>
      <c r="T609" t="str">
        <f>_xlfn.TEXTBEFORE(Table2[[#This Row],[category &amp; sub-category]],"/")</f>
        <v>food</v>
      </c>
      <c r="U609" t="str">
        <f>_xlfn.TEXTAFTER(Table2[[#This Row],[category &amp; sub-category]],"/")</f>
        <v>food trucks</v>
      </c>
    </row>
    <row r="610" spans="1:21" ht="17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5">
        <f>100*Table2[[#This Row],[pledged]]/Table2[[#This Row],[goal]]</f>
        <v>283.97435897435895</v>
      </c>
      <c r="G610" t="s">
        <v>20</v>
      </c>
      <c r="H610">
        <v>316</v>
      </c>
      <c r="I610" s="4">
        <f>IF(Table2[[#This Row],[pledged]]&gt;0,Table2[[#This Row],[pledged]]/Table2[[#This Row],[backers_count]],0)</f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8">
        <f t="shared" si="18"/>
        <v>43530.25</v>
      </c>
      <c r="O610" s="8">
        <f t="shared" si="19"/>
        <v>43534.25</v>
      </c>
      <c r="P610" s="5">
        <f>_xlfn.DAYS(Table2[[#This Row],[Date Ended Conversion]],Table2[[#This Row],[Date Created Conversion]])+1</f>
        <v>5</v>
      </c>
      <c r="Q610" t="b">
        <v>0</v>
      </c>
      <c r="R610" t="b">
        <v>1</v>
      </c>
      <c r="S610" t="s">
        <v>159</v>
      </c>
      <c r="T610" t="str">
        <f>_xlfn.TEXTBEFORE(Table2[[#This Row],[category &amp; sub-category]],"/")</f>
        <v>music</v>
      </c>
      <c r="U610" t="str">
        <f>_xlfn.TEXTAFTER(Table2[[#This Row],[category &amp; sub-category]],"/")</f>
        <v>jazz</v>
      </c>
    </row>
    <row r="611" spans="1:21" ht="17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5">
        <f>100*Table2[[#This Row],[pledged]]/Table2[[#This Row],[goal]]</f>
        <v>120.42</v>
      </c>
      <c r="G611" t="s">
        <v>20</v>
      </c>
      <c r="H611">
        <v>117</v>
      </c>
      <c r="I611" s="4">
        <f>IF(Table2[[#This Row],[pledged]]&gt;0,Table2[[#This Row],[pledged]]/Table2[[#This Row],[backers_count]],0)</f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8">
        <f t="shared" si="18"/>
        <v>43481.25</v>
      </c>
      <c r="O611" s="8">
        <f t="shared" si="19"/>
        <v>43498.25</v>
      </c>
      <c r="P611" s="5">
        <f>_xlfn.DAYS(Table2[[#This Row],[Date Ended Conversion]],Table2[[#This Row],[Date Created Conversion]])+1</f>
        <v>18</v>
      </c>
      <c r="Q611" t="b">
        <v>0</v>
      </c>
      <c r="R611" t="b">
        <v>0</v>
      </c>
      <c r="S611" t="s">
        <v>474</v>
      </c>
      <c r="T611" t="str">
        <f>_xlfn.TEXTBEFORE(Table2[[#This Row],[category &amp; sub-category]],"/")</f>
        <v>film &amp; video</v>
      </c>
      <c r="U611" t="str">
        <f>_xlfn.TEXTAFTER(Table2[[#This Row],[category &amp; sub-category]],"/")</f>
        <v>science fiction</v>
      </c>
    </row>
    <row r="612" spans="1:21" ht="34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5">
        <f>100*Table2[[#This Row],[pledged]]/Table2[[#This Row],[goal]]</f>
        <v>419.05607476635515</v>
      </c>
      <c r="G612" t="s">
        <v>20</v>
      </c>
      <c r="H612">
        <v>6406</v>
      </c>
      <c r="I612" s="4">
        <f>IF(Table2[[#This Row],[pledged]]&gt;0,Table2[[#This Row],[pledged]]/Table2[[#This Row],[backers_count]],0)</f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8">
        <f t="shared" si="18"/>
        <v>41259.25</v>
      </c>
      <c r="O612" s="8">
        <f t="shared" si="19"/>
        <v>41273.25</v>
      </c>
      <c r="P612" s="5">
        <f>_xlfn.DAYS(Table2[[#This Row],[Date Ended Conversion]],Table2[[#This Row],[Date Created Conversion]])+1</f>
        <v>15</v>
      </c>
      <c r="Q612" t="b">
        <v>0</v>
      </c>
      <c r="R612" t="b">
        <v>0</v>
      </c>
      <c r="S612" t="s">
        <v>33</v>
      </c>
      <c r="T612" t="str">
        <f>_xlfn.TEXTBEFORE(Table2[[#This Row],[category &amp; sub-category]],"/")</f>
        <v>theater</v>
      </c>
      <c r="U612" t="str">
        <f>_xlfn.TEXTAFTER(Table2[[#This Row],[category &amp; sub-category]],"/")</f>
        <v>plays</v>
      </c>
    </row>
    <row r="613" spans="1:21" ht="17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5">
        <f>100*Table2[[#This Row],[pledged]]/Table2[[#This Row],[goal]]</f>
        <v>13.853658536585366</v>
      </c>
      <c r="G613" t="s">
        <v>74</v>
      </c>
      <c r="H613">
        <v>15</v>
      </c>
      <c r="I613" s="4">
        <f>IF(Table2[[#This Row],[pledged]]&gt;0,Table2[[#This Row],[pledged]]/Table2[[#This Row],[backers_count]],0)</f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8">
        <f t="shared" si="18"/>
        <v>41480.208333333336</v>
      </c>
      <c r="O613" s="8">
        <f t="shared" si="19"/>
        <v>41492.208333333336</v>
      </c>
      <c r="P613" s="5">
        <f>_xlfn.DAYS(Table2[[#This Row],[Date Ended Conversion]],Table2[[#This Row],[Date Created Conversion]])+1</f>
        <v>13</v>
      </c>
      <c r="Q613" t="b">
        <v>0</v>
      </c>
      <c r="R613" t="b">
        <v>0</v>
      </c>
      <c r="S613" t="s">
        <v>33</v>
      </c>
      <c r="T613" t="str">
        <f>_xlfn.TEXTBEFORE(Table2[[#This Row],[category &amp; sub-category]],"/")</f>
        <v>theater</v>
      </c>
      <c r="U613" t="str">
        <f>_xlfn.TEXTAFTER(Table2[[#This Row],[category &amp; sub-category]],"/")</f>
        <v>plays</v>
      </c>
    </row>
    <row r="614" spans="1:21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5">
        <f>100*Table2[[#This Row],[pledged]]/Table2[[#This Row],[goal]]</f>
        <v>139.43548387096774</v>
      </c>
      <c r="G614" t="s">
        <v>20</v>
      </c>
      <c r="H614">
        <v>192</v>
      </c>
      <c r="I614" s="4">
        <f>IF(Table2[[#This Row],[pledged]]&gt;0,Table2[[#This Row],[pledged]]/Table2[[#This Row],[backers_count]],0)</f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8">
        <f t="shared" si="18"/>
        <v>40474.208333333336</v>
      </c>
      <c r="O614" s="8">
        <f t="shared" si="19"/>
        <v>40497.25</v>
      </c>
      <c r="P614" s="5">
        <f>_xlfn.DAYS(Table2[[#This Row],[Date Ended Conversion]],Table2[[#This Row],[Date Created Conversion]])+1</f>
        <v>24</v>
      </c>
      <c r="Q614" t="b">
        <v>0</v>
      </c>
      <c r="R614" t="b">
        <v>0</v>
      </c>
      <c r="S614" t="s">
        <v>50</v>
      </c>
      <c r="T614" t="str">
        <f>_xlfn.TEXTBEFORE(Table2[[#This Row],[category &amp; sub-category]],"/")</f>
        <v>music</v>
      </c>
      <c r="U614" t="str">
        <f>_xlfn.TEXTAFTER(Table2[[#This Row],[category &amp; sub-category]],"/")</f>
        <v>electric music</v>
      </c>
    </row>
    <row r="615" spans="1:21" ht="34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5">
        <f>100*Table2[[#This Row],[pledged]]/Table2[[#This Row],[goal]]</f>
        <v>174</v>
      </c>
      <c r="G615" t="s">
        <v>20</v>
      </c>
      <c r="H615">
        <v>26</v>
      </c>
      <c r="I615" s="4">
        <f>IF(Table2[[#This Row],[pledged]]&gt;0,Table2[[#This Row],[pledged]]/Table2[[#This Row],[backers_count]],0)</f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8">
        <f t="shared" si="18"/>
        <v>42973.208333333328</v>
      </c>
      <c r="O615" s="8">
        <f t="shared" si="19"/>
        <v>42982.208333333328</v>
      </c>
      <c r="P615" s="5">
        <f>_xlfn.DAYS(Table2[[#This Row],[Date Ended Conversion]],Table2[[#This Row],[Date Created Conversion]])+1</f>
        <v>10</v>
      </c>
      <c r="Q615" t="b">
        <v>0</v>
      </c>
      <c r="R615" t="b">
        <v>0</v>
      </c>
      <c r="S615" t="s">
        <v>33</v>
      </c>
      <c r="T615" t="str">
        <f>_xlfn.TEXTBEFORE(Table2[[#This Row],[category &amp; sub-category]],"/")</f>
        <v>theater</v>
      </c>
      <c r="U615" t="str">
        <f>_xlfn.TEXTAFTER(Table2[[#This Row],[category &amp; sub-category]],"/")</f>
        <v>plays</v>
      </c>
    </row>
    <row r="616" spans="1:21" ht="34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5">
        <f>100*Table2[[#This Row],[pledged]]/Table2[[#This Row],[goal]]</f>
        <v>155.49056603773585</v>
      </c>
      <c r="G616" t="s">
        <v>20</v>
      </c>
      <c r="H616">
        <v>723</v>
      </c>
      <c r="I616" s="4">
        <f>IF(Table2[[#This Row],[pledged]]&gt;0,Table2[[#This Row],[pledged]]/Table2[[#This Row],[backers_count]],0)</f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8">
        <f t="shared" si="18"/>
        <v>42746.25</v>
      </c>
      <c r="O616" s="8">
        <f t="shared" si="19"/>
        <v>42764.25</v>
      </c>
      <c r="P616" s="5">
        <f>_xlfn.DAYS(Table2[[#This Row],[Date Ended Conversion]],Table2[[#This Row],[Date Created Conversion]])+1</f>
        <v>19</v>
      </c>
      <c r="Q616" t="b">
        <v>0</v>
      </c>
      <c r="R616" t="b">
        <v>0</v>
      </c>
      <c r="S616" t="s">
        <v>33</v>
      </c>
      <c r="T616" t="str">
        <f>_xlfn.TEXTBEFORE(Table2[[#This Row],[category &amp; sub-category]],"/")</f>
        <v>theater</v>
      </c>
      <c r="U616" t="str">
        <f>_xlfn.TEXTAFTER(Table2[[#This Row],[category &amp; sub-category]],"/")</f>
        <v>plays</v>
      </c>
    </row>
    <row r="617" spans="1:21" ht="17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5">
        <f>100*Table2[[#This Row],[pledged]]/Table2[[#This Row],[goal]]</f>
        <v>170.4470588235294</v>
      </c>
      <c r="G617" t="s">
        <v>20</v>
      </c>
      <c r="H617">
        <v>170</v>
      </c>
      <c r="I617" s="4">
        <f>IF(Table2[[#This Row],[pledged]]&gt;0,Table2[[#This Row],[pledged]]/Table2[[#This Row],[backers_count]],0)</f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8">
        <f t="shared" si="18"/>
        <v>42489.208333333328</v>
      </c>
      <c r="O617" s="8">
        <f t="shared" si="19"/>
        <v>42499.208333333328</v>
      </c>
      <c r="P617" s="5">
        <f>_xlfn.DAYS(Table2[[#This Row],[Date Ended Conversion]],Table2[[#This Row],[Date Created Conversion]])+1</f>
        <v>11</v>
      </c>
      <c r="Q617" t="b">
        <v>0</v>
      </c>
      <c r="R617" t="b">
        <v>0</v>
      </c>
      <c r="S617" t="s">
        <v>33</v>
      </c>
      <c r="T617" t="str">
        <f>_xlfn.TEXTBEFORE(Table2[[#This Row],[category &amp; sub-category]],"/")</f>
        <v>theater</v>
      </c>
      <c r="U617" t="str">
        <f>_xlfn.TEXTAFTER(Table2[[#This Row],[category &amp; sub-category]],"/")</f>
        <v>plays</v>
      </c>
    </row>
    <row r="618" spans="1:21" ht="17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5">
        <f>100*Table2[[#This Row],[pledged]]/Table2[[#This Row],[goal]]</f>
        <v>189.515625</v>
      </c>
      <c r="G618" t="s">
        <v>20</v>
      </c>
      <c r="H618">
        <v>238</v>
      </c>
      <c r="I618" s="4">
        <f>IF(Table2[[#This Row],[pledged]]&gt;0,Table2[[#This Row],[pledged]]/Table2[[#This Row],[backers_count]],0)</f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8">
        <f t="shared" si="18"/>
        <v>41537.208333333336</v>
      </c>
      <c r="O618" s="8">
        <f t="shared" si="19"/>
        <v>41538.208333333336</v>
      </c>
      <c r="P618" s="5">
        <f>_xlfn.DAYS(Table2[[#This Row],[Date Ended Conversion]],Table2[[#This Row],[Date Created Conversion]])+1</f>
        <v>2</v>
      </c>
      <c r="Q618" t="b">
        <v>0</v>
      </c>
      <c r="R618" t="b">
        <v>1</v>
      </c>
      <c r="S618" t="s">
        <v>60</v>
      </c>
      <c r="T618" t="str">
        <f>_xlfn.TEXTBEFORE(Table2[[#This Row],[category &amp; sub-category]],"/")</f>
        <v>music</v>
      </c>
      <c r="U618" t="str">
        <f>_xlfn.TEXTAFTER(Table2[[#This Row],[category &amp; sub-category]],"/")</f>
        <v>indie rock</v>
      </c>
    </row>
    <row r="619" spans="1:21" ht="17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5">
        <f>100*Table2[[#This Row],[pledged]]/Table2[[#This Row],[goal]]</f>
        <v>249.71428571428572</v>
      </c>
      <c r="G619" t="s">
        <v>20</v>
      </c>
      <c r="H619">
        <v>55</v>
      </c>
      <c r="I619" s="4">
        <f>IF(Table2[[#This Row],[pledged]]&gt;0,Table2[[#This Row],[pledged]]/Table2[[#This Row],[backers_count]],0)</f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8">
        <f t="shared" si="18"/>
        <v>41794.208333333336</v>
      </c>
      <c r="O619" s="8">
        <f t="shared" si="19"/>
        <v>41804.208333333336</v>
      </c>
      <c r="P619" s="5">
        <f>_xlfn.DAYS(Table2[[#This Row],[Date Ended Conversion]],Table2[[#This Row],[Date Created Conversion]])+1</f>
        <v>11</v>
      </c>
      <c r="Q619" t="b">
        <v>0</v>
      </c>
      <c r="R619" t="b">
        <v>0</v>
      </c>
      <c r="S619" t="s">
        <v>33</v>
      </c>
      <c r="T619" t="str">
        <f>_xlfn.TEXTBEFORE(Table2[[#This Row],[category &amp; sub-category]],"/")</f>
        <v>theater</v>
      </c>
      <c r="U619" t="str">
        <f>_xlfn.TEXTAFTER(Table2[[#This Row],[category &amp; sub-category]],"/")</f>
        <v>plays</v>
      </c>
    </row>
    <row r="620" spans="1:21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5">
        <f>100*Table2[[#This Row],[pledged]]/Table2[[#This Row],[goal]]</f>
        <v>48.86052366565962</v>
      </c>
      <c r="G620" t="s">
        <v>14</v>
      </c>
      <c r="H620">
        <v>1198</v>
      </c>
      <c r="I620" s="4">
        <f>IF(Table2[[#This Row],[pledged]]&gt;0,Table2[[#This Row],[pledged]]/Table2[[#This Row],[backers_count]],0)</f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8">
        <f t="shared" si="18"/>
        <v>41396.208333333336</v>
      </c>
      <c r="O620" s="8">
        <f t="shared" si="19"/>
        <v>41417.208333333336</v>
      </c>
      <c r="P620" s="5">
        <f>_xlfn.DAYS(Table2[[#This Row],[Date Ended Conversion]],Table2[[#This Row],[Date Created Conversion]])+1</f>
        <v>22</v>
      </c>
      <c r="Q620" t="b">
        <v>0</v>
      </c>
      <c r="R620" t="b">
        <v>0</v>
      </c>
      <c r="S620" t="s">
        <v>68</v>
      </c>
      <c r="T620" t="str">
        <f>_xlfn.TEXTBEFORE(Table2[[#This Row],[category &amp; sub-category]],"/")</f>
        <v>publishing</v>
      </c>
      <c r="U620" t="str">
        <f>_xlfn.TEXTAFTER(Table2[[#This Row],[category &amp; sub-category]],"/")</f>
        <v>nonfiction</v>
      </c>
    </row>
    <row r="621" spans="1:21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5">
        <f>100*Table2[[#This Row],[pledged]]/Table2[[#This Row],[goal]]</f>
        <v>28.461970393057683</v>
      </c>
      <c r="G621" t="s">
        <v>14</v>
      </c>
      <c r="H621">
        <v>648</v>
      </c>
      <c r="I621" s="4">
        <f>IF(Table2[[#This Row],[pledged]]&gt;0,Table2[[#This Row],[pledged]]/Table2[[#This Row],[backers_count]],0)</f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8">
        <f t="shared" si="18"/>
        <v>40669.208333333336</v>
      </c>
      <c r="O621" s="8">
        <f t="shared" si="19"/>
        <v>40670.208333333336</v>
      </c>
      <c r="P621" s="5">
        <f>_xlfn.DAYS(Table2[[#This Row],[Date Ended Conversion]],Table2[[#This Row],[Date Created Conversion]])+1</f>
        <v>2</v>
      </c>
      <c r="Q621" t="b">
        <v>1</v>
      </c>
      <c r="R621" t="b">
        <v>1</v>
      </c>
      <c r="S621" t="s">
        <v>33</v>
      </c>
      <c r="T621" t="str">
        <f>_xlfn.TEXTBEFORE(Table2[[#This Row],[category &amp; sub-category]],"/")</f>
        <v>theater</v>
      </c>
      <c r="U621" t="str">
        <f>_xlfn.TEXTAFTER(Table2[[#This Row],[category &amp; sub-category]],"/")</f>
        <v>plays</v>
      </c>
    </row>
    <row r="622" spans="1:21" ht="17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5">
        <f>100*Table2[[#This Row],[pledged]]/Table2[[#This Row],[goal]]</f>
        <v>268.02325581395348</v>
      </c>
      <c r="G622" t="s">
        <v>20</v>
      </c>
      <c r="H622">
        <v>128</v>
      </c>
      <c r="I622" s="4">
        <f>IF(Table2[[#This Row],[pledged]]&gt;0,Table2[[#This Row],[pledged]]/Table2[[#This Row],[backers_count]],0)</f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8">
        <f t="shared" si="18"/>
        <v>42559.208333333328</v>
      </c>
      <c r="O622" s="8">
        <f t="shared" si="19"/>
        <v>42563.208333333328</v>
      </c>
      <c r="P622" s="5">
        <f>_xlfn.DAYS(Table2[[#This Row],[Date Ended Conversion]],Table2[[#This Row],[Date Created Conversion]])+1</f>
        <v>5</v>
      </c>
      <c r="Q622" t="b">
        <v>0</v>
      </c>
      <c r="R622" t="b">
        <v>0</v>
      </c>
      <c r="S622" t="s">
        <v>122</v>
      </c>
      <c r="T622" t="str">
        <f>_xlfn.TEXTBEFORE(Table2[[#This Row],[category &amp; sub-category]],"/")</f>
        <v>photography</v>
      </c>
      <c r="U622" t="str">
        <f>_xlfn.TEXTAFTER(Table2[[#This Row],[category &amp; sub-category]],"/")</f>
        <v>photography books</v>
      </c>
    </row>
    <row r="623" spans="1:21" ht="17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5">
        <f>100*Table2[[#This Row],[pledged]]/Table2[[#This Row],[goal]]</f>
        <v>619.80078125</v>
      </c>
      <c r="G623" t="s">
        <v>20</v>
      </c>
      <c r="H623">
        <v>2144</v>
      </c>
      <c r="I623" s="4">
        <f>IF(Table2[[#This Row],[pledged]]&gt;0,Table2[[#This Row],[pledged]]/Table2[[#This Row],[backers_count]],0)</f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8">
        <f t="shared" si="18"/>
        <v>42626.208333333328</v>
      </c>
      <c r="O623" s="8">
        <f t="shared" si="19"/>
        <v>42631.208333333328</v>
      </c>
      <c r="P623" s="5">
        <f>_xlfn.DAYS(Table2[[#This Row],[Date Ended Conversion]],Table2[[#This Row],[Date Created Conversion]])+1</f>
        <v>6</v>
      </c>
      <c r="Q623" t="b">
        <v>0</v>
      </c>
      <c r="R623" t="b">
        <v>0</v>
      </c>
      <c r="S623" t="s">
        <v>33</v>
      </c>
      <c r="T623" t="str">
        <f>_xlfn.TEXTBEFORE(Table2[[#This Row],[category &amp; sub-category]],"/")</f>
        <v>theater</v>
      </c>
      <c r="U623" t="str">
        <f>_xlfn.TEXTAFTER(Table2[[#This Row],[category &amp; sub-category]],"/")</f>
        <v>plays</v>
      </c>
    </row>
    <row r="624" spans="1:21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5">
        <f>100*Table2[[#This Row],[pledged]]/Table2[[#This Row],[goal]]</f>
        <v>3.1301587301587301</v>
      </c>
      <c r="G624" t="s">
        <v>14</v>
      </c>
      <c r="H624">
        <v>64</v>
      </c>
      <c r="I624" s="4">
        <f>IF(Table2[[#This Row],[pledged]]&gt;0,Table2[[#This Row],[pledged]]/Table2[[#This Row],[backers_count]],0)</f>
        <v>92.4375</v>
      </c>
      <c r="J624" t="s">
        <v>21</v>
      </c>
      <c r="K624" t="s">
        <v>22</v>
      </c>
      <c r="L624">
        <v>1523768400</v>
      </c>
      <c r="M624">
        <v>1526014800</v>
      </c>
      <c r="N624" s="8">
        <f t="shared" si="18"/>
        <v>43205.208333333328</v>
      </c>
      <c r="O624" s="8">
        <f t="shared" si="19"/>
        <v>43231.208333333328</v>
      </c>
      <c r="P624" s="5">
        <f>_xlfn.DAYS(Table2[[#This Row],[Date Ended Conversion]],Table2[[#This Row],[Date Created Conversion]])+1</f>
        <v>27</v>
      </c>
      <c r="Q624" t="b">
        <v>0</v>
      </c>
      <c r="R624" t="b">
        <v>0</v>
      </c>
      <c r="S624" t="s">
        <v>60</v>
      </c>
      <c r="T624" t="str">
        <f>_xlfn.TEXTBEFORE(Table2[[#This Row],[category &amp; sub-category]],"/")</f>
        <v>music</v>
      </c>
      <c r="U624" t="str">
        <f>_xlfn.TEXTAFTER(Table2[[#This Row],[category &amp; sub-category]],"/")</f>
        <v>indie rock</v>
      </c>
    </row>
    <row r="625" spans="1:21" ht="17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5">
        <f>100*Table2[[#This Row],[pledged]]/Table2[[#This Row],[goal]]</f>
        <v>159.92152704135736</v>
      </c>
      <c r="G625" t="s">
        <v>20</v>
      </c>
      <c r="H625">
        <v>2693</v>
      </c>
      <c r="I625" s="4">
        <f>IF(Table2[[#This Row],[pledged]]&gt;0,Table2[[#This Row],[pledged]]/Table2[[#This Row],[backers_count]],0)</f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8">
        <f t="shared" si="18"/>
        <v>42201.208333333328</v>
      </c>
      <c r="O625" s="8">
        <f t="shared" si="19"/>
        <v>42206.208333333328</v>
      </c>
      <c r="P625" s="5">
        <f>_xlfn.DAYS(Table2[[#This Row],[Date Ended Conversion]],Table2[[#This Row],[Date Created Conversion]])+1</f>
        <v>6</v>
      </c>
      <c r="Q625" t="b">
        <v>0</v>
      </c>
      <c r="R625" t="b">
        <v>0</v>
      </c>
      <c r="S625" t="s">
        <v>33</v>
      </c>
      <c r="T625" t="str">
        <f>_xlfn.TEXTBEFORE(Table2[[#This Row],[category &amp; sub-category]],"/")</f>
        <v>theater</v>
      </c>
      <c r="U625" t="str">
        <f>_xlfn.TEXTAFTER(Table2[[#This Row],[category &amp; sub-category]],"/")</f>
        <v>plays</v>
      </c>
    </row>
    <row r="626" spans="1:21" ht="17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5">
        <f>100*Table2[[#This Row],[pledged]]/Table2[[#This Row],[goal]]</f>
        <v>279.39215686274508</v>
      </c>
      <c r="G626" t="s">
        <v>20</v>
      </c>
      <c r="H626">
        <v>432</v>
      </c>
      <c r="I626" s="4">
        <f>IF(Table2[[#This Row],[pledged]]&gt;0,Table2[[#This Row],[pledged]]/Table2[[#This Row],[backers_count]],0)</f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8">
        <f t="shared" si="18"/>
        <v>42029.25</v>
      </c>
      <c r="O626" s="8">
        <f t="shared" si="19"/>
        <v>42035.25</v>
      </c>
      <c r="P626" s="5">
        <f>_xlfn.DAYS(Table2[[#This Row],[Date Ended Conversion]],Table2[[#This Row],[Date Created Conversion]])+1</f>
        <v>7</v>
      </c>
      <c r="Q626" t="b">
        <v>0</v>
      </c>
      <c r="R626" t="b">
        <v>0</v>
      </c>
      <c r="S626" t="s">
        <v>122</v>
      </c>
      <c r="T626" t="str">
        <f>_xlfn.TEXTBEFORE(Table2[[#This Row],[category &amp; sub-category]],"/")</f>
        <v>photography</v>
      </c>
      <c r="U626" t="str">
        <f>_xlfn.TEXTAFTER(Table2[[#This Row],[category &amp; sub-category]],"/")</f>
        <v>photography books</v>
      </c>
    </row>
    <row r="627" spans="1:21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5">
        <f>100*Table2[[#This Row],[pledged]]/Table2[[#This Row],[goal]]</f>
        <v>77.373333333333335</v>
      </c>
      <c r="G627" t="s">
        <v>14</v>
      </c>
      <c r="H627">
        <v>62</v>
      </c>
      <c r="I627" s="4">
        <f>IF(Table2[[#This Row],[pledged]]&gt;0,Table2[[#This Row],[pledged]]/Table2[[#This Row],[backers_count]],0)</f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8">
        <f t="shared" si="18"/>
        <v>43857.25</v>
      </c>
      <c r="O627" s="8">
        <f t="shared" si="19"/>
        <v>43871.25</v>
      </c>
      <c r="P627" s="5">
        <f>_xlfn.DAYS(Table2[[#This Row],[Date Ended Conversion]],Table2[[#This Row],[Date Created Conversion]])+1</f>
        <v>15</v>
      </c>
      <c r="Q627" t="b">
        <v>0</v>
      </c>
      <c r="R627" t="b">
        <v>0</v>
      </c>
      <c r="S627" t="s">
        <v>33</v>
      </c>
      <c r="T627" t="str">
        <f>_xlfn.TEXTBEFORE(Table2[[#This Row],[category &amp; sub-category]],"/")</f>
        <v>theater</v>
      </c>
      <c r="U627" t="str">
        <f>_xlfn.TEXTAFTER(Table2[[#This Row],[category &amp; sub-category]],"/")</f>
        <v>plays</v>
      </c>
    </row>
    <row r="628" spans="1:21" ht="34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5">
        <f>100*Table2[[#This Row],[pledged]]/Table2[[#This Row],[goal]]</f>
        <v>206.328125</v>
      </c>
      <c r="G628" t="s">
        <v>20</v>
      </c>
      <c r="H628">
        <v>189</v>
      </c>
      <c r="I628" s="4">
        <f>IF(Table2[[#This Row],[pledged]]&gt;0,Table2[[#This Row],[pledged]]/Table2[[#This Row],[backers_count]],0)</f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8">
        <f t="shared" si="18"/>
        <v>40449.208333333336</v>
      </c>
      <c r="O628" s="8">
        <f t="shared" si="19"/>
        <v>40458.208333333336</v>
      </c>
      <c r="P628" s="5">
        <f>_xlfn.DAYS(Table2[[#This Row],[Date Ended Conversion]],Table2[[#This Row],[Date Created Conversion]])+1</f>
        <v>10</v>
      </c>
      <c r="Q628" t="b">
        <v>0</v>
      </c>
      <c r="R628" t="b">
        <v>1</v>
      </c>
      <c r="S628" t="s">
        <v>33</v>
      </c>
      <c r="T628" t="str">
        <f>_xlfn.TEXTBEFORE(Table2[[#This Row],[category &amp; sub-category]],"/")</f>
        <v>theater</v>
      </c>
      <c r="U628" t="str">
        <f>_xlfn.TEXTAFTER(Table2[[#This Row],[category &amp; sub-category]],"/")</f>
        <v>plays</v>
      </c>
    </row>
    <row r="629" spans="1:21" ht="17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5">
        <f>100*Table2[[#This Row],[pledged]]/Table2[[#This Row],[goal]]</f>
        <v>694.25</v>
      </c>
      <c r="G629" t="s">
        <v>20</v>
      </c>
      <c r="H629">
        <v>154</v>
      </c>
      <c r="I629" s="4">
        <f>IF(Table2[[#This Row],[pledged]]&gt;0,Table2[[#This Row],[pledged]]/Table2[[#This Row],[backers_count]],0)</f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8">
        <f t="shared" si="18"/>
        <v>40345.208333333336</v>
      </c>
      <c r="O629" s="8">
        <f t="shared" si="19"/>
        <v>40369.208333333336</v>
      </c>
      <c r="P629" s="5">
        <f>_xlfn.DAYS(Table2[[#This Row],[Date Ended Conversion]],Table2[[#This Row],[Date Created Conversion]])+1</f>
        <v>25</v>
      </c>
      <c r="Q629" t="b">
        <v>1</v>
      </c>
      <c r="R629" t="b">
        <v>0</v>
      </c>
      <c r="S629" t="s">
        <v>17</v>
      </c>
      <c r="T629" t="str">
        <f>_xlfn.TEXTBEFORE(Table2[[#This Row],[category &amp; sub-category]],"/")</f>
        <v>food</v>
      </c>
      <c r="U629" t="str">
        <f>_xlfn.TEXTAFTER(Table2[[#This Row],[category &amp; sub-category]],"/")</f>
        <v>food trucks</v>
      </c>
    </row>
    <row r="630" spans="1:21" ht="17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5">
        <f>100*Table2[[#This Row],[pledged]]/Table2[[#This Row],[goal]]</f>
        <v>151.78947368421052</v>
      </c>
      <c r="G630" t="s">
        <v>20</v>
      </c>
      <c r="H630">
        <v>96</v>
      </c>
      <c r="I630" s="4">
        <f>IF(Table2[[#This Row],[pledged]]&gt;0,Table2[[#This Row],[pledged]]/Table2[[#This Row],[backers_count]],0)</f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8">
        <f t="shared" si="18"/>
        <v>40455.208333333336</v>
      </c>
      <c r="O630" s="8">
        <f t="shared" si="19"/>
        <v>40458.208333333336</v>
      </c>
      <c r="P630" s="5">
        <f>_xlfn.DAYS(Table2[[#This Row],[Date Ended Conversion]],Table2[[#This Row],[Date Created Conversion]])+1</f>
        <v>4</v>
      </c>
      <c r="Q630" t="b">
        <v>0</v>
      </c>
      <c r="R630" t="b">
        <v>0</v>
      </c>
      <c r="S630" t="s">
        <v>60</v>
      </c>
      <c r="T630" t="str">
        <f>_xlfn.TEXTBEFORE(Table2[[#This Row],[category &amp; sub-category]],"/")</f>
        <v>music</v>
      </c>
      <c r="U630" t="str">
        <f>_xlfn.TEXTAFTER(Table2[[#This Row],[category &amp; sub-category]],"/")</f>
        <v>indie rock</v>
      </c>
    </row>
    <row r="631" spans="1:21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5">
        <f>100*Table2[[#This Row],[pledged]]/Table2[[#This Row],[goal]]</f>
        <v>64.582072176949936</v>
      </c>
      <c r="G631" t="s">
        <v>14</v>
      </c>
      <c r="H631">
        <v>750</v>
      </c>
      <c r="I631" s="4">
        <f>IF(Table2[[#This Row],[pledged]]&gt;0,Table2[[#This Row],[pledged]]/Table2[[#This Row],[backers_count]],0)</f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8">
        <f t="shared" si="18"/>
        <v>42557.208333333328</v>
      </c>
      <c r="O631" s="8">
        <f t="shared" si="19"/>
        <v>42559.208333333328</v>
      </c>
      <c r="P631" s="5">
        <f>_xlfn.DAYS(Table2[[#This Row],[Date Ended Conversion]],Table2[[#This Row],[Date Created Conversion]])+1</f>
        <v>3</v>
      </c>
      <c r="Q631" t="b">
        <v>0</v>
      </c>
      <c r="R631" t="b">
        <v>1</v>
      </c>
      <c r="S631" t="s">
        <v>33</v>
      </c>
      <c r="T631" t="str">
        <f>_xlfn.TEXTBEFORE(Table2[[#This Row],[category &amp; sub-category]],"/")</f>
        <v>theater</v>
      </c>
      <c r="U631" t="str">
        <f>_xlfn.TEXTAFTER(Table2[[#This Row],[category &amp; sub-category]],"/")</f>
        <v>plays</v>
      </c>
    </row>
    <row r="632" spans="1:21" ht="17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5">
        <f>100*Table2[[#This Row],[pledged]]/Table2[[#This Row],[goal]]</f>
        <v>62.873684210526314</v>
      </c>
      <c r="G632" t="s">
        <v>74</v>
      </c>
      <c r="H632">
        <v>87</v>
      </c>
      <c r="I632" s="4">
        <f>IF(Table2[[#This Row],[pledged]]&gt;0,Table2[[#This Row],[pledged]]/Table2[[#This Row],[backers_count]],0)</f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8">
        <f t="shared" si="18"/>
        <v>43586.208333333328</v>
      </c>
      <c r="O632" s="8">
        <f t="shared" si="19"/>
        <v>43597.208333333328</v>
      </c>
      <c r="P632" s="5">
        <f>_xlfn.DAYS(Table2[[#This Row],[Date Ended Conversion]],Table2[[#This Row],[Date Created Conversion]])+1</f>
        <v>12</v>
      </c>
      <c r="Q632" t="b">
        <v>0</v>
      </c>
      <c r="R632" t="b">
        <v>1</v>
      </c>
      <c r="S632" t="s">
        <v>33</v>
      </c>
      <c r="T632" t="str">
        <f>_xlfn.TEXTBEFORE(Table2[[#This Row],[category &amp; sub-category]],"/")</f>
        <v>theater</v>
      </c>
      <c r="U632" t="str">
        <f>_xlfn.TEXTAFTER(Table2[[#This Row],[category &amp; sub-category]],"/")</f>
        <v>plays</v>
      </c>
    </row>
    <row r="633" spans="1:21" ht="17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5">
        <f>100*Table2[[#This Row],[pledged]]/Table2[[#This Row],[goal]]</f>
        <v>310.39864864864865</v>
      </c>
      <c r="G633" t="s">
        <v>20</v>
      </c>
      <c r="H633">
        <v>3063</v>
      </c>
      <c r="I633" s="4">
        <f>IF(Table2[[#This Row],[pledged]]&gt;0,Table2[[#This Row],[pledged]]/Table2[[#This Row],[backers_count]],0)</f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8">
        <f t="shared" si="18"/>
        <v>43550.208333333328</v>
      </c>
      <c r="O633" s="8">
        <f t="shared" si="19"/>
        <v>43554.208333333328</v>
      </c>
      <c r="P633" s="5">
        <f>_xlfn.DAYS(Table2[[#This Row],[Date Ended Conversion]],Table2[[#This Row],[Date Created Conversion]])+1</f>
        <v>5</v>
      </c>
      <c r="Q633" t="b">
        <v>0</v>
      </c>
      <c r="R633" t="b">
        <v>0</v>
      </c>
      <c r="S633" t="s">
        <v>33</v>
      </c>
      <c r="T633" t="str">
        <f>_xlfn.TEXTBEFORE(Table2[[#This Row],[category &amp; sub-category]],"/")</f>
        <v>theater</v>
      </c>
      <c r="U633" t="str">
        <f>_xlfn.TEXTAFTER(Table2[[#This Row],[category &amp; sub-category]],"/")</f>
        <v>plays</v>
      </c>
    </row>
    <row r="634" spans="1:21" ht="17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5">
        <f>100*Table2[[#This Row],[pledged]]/Table2[[#This Row],[goal]]</f>
        <v>42.859916782246877</v>
      </c>
      <c r="G634" t="s">
        <v>47</v>
      </c>
      <c r="H634">
        <v>278</v>
      </c>
      <c r="I634" s="4">
        <f>IF(Table2[[#This Row],[pledged]]&gt;0,Table2[[#This Row],[pledged]]/Table2[[#This Row],[backers_count]],0)</f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8">
        <f t="shared" si="18"/>
        <v>41945.208333333336</v>
      </c>
      <c r="O634" s="8">
        <f t="shared" si="19"/>
        <v>41963.25</v>
      </c>
      <c r="P634" s="5">
        <f>_xlfn.DAYS(Table2[[#This Row],[Date Ended Conversion]],Table2[[#This Row],[Date Created Conversion]])+1</f>
        <v>19</v>
      </c>
      <c r="Q634" t="b">
        <v>0</v>
      </c>
      <c r="R634" t="b">
        <v>0</v>
      </c>
      <c r="S634" t="s">
        <v>33</v>
      </c>
      <c r="T634" t="str">
        <f>_xlfn.TEXTBEFORE(Table2[[#This Row],[category &amp; sub-category]],"/")</f>
        <v>theater</v>
      </c>
      <c r="U634" t="str">
        <f>_xlfn.TEXTAFTER(Table2[[#This Row],[category &amp; sub-category]],"/")</f>
        <v>plays</v>
      </c>
    </row>
    <row r="635" spans="1:21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5">
        <f>100*Table2[[#This Row],[pledged]]/Table2[[#This Row],[goal]]</f>
        <v>83.119402985074629</v>
      </c>
      <c r="G635" t="s">
        <v>14</v>
      </c>
      <c r="H635">
        <v>105</v>
      </c>
      <c r="I635" s="4">
        <f>IF(Table2[[#This Row],[pledged]]&gt;0,Table2[[#This Row],[pledged]]/Table2[[#This Row],[backers_count]],0)</f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8">
        <f t="shared" si="18"/>
        <v>42315.25</v>
      </c>
      <c r="O635" s="8">
        <f t="shared" si="19"/>
        <v>42319.25</v>
      </c>
      <c r="P635" s="5">
        <f>_xlfn.DAYS(Table2[[#This Row],[Date Ended Conversion]],Table2[[#This Row],[Date Created Conversion]])+1</f>
        <v>5</v>
      </c>
      <c r="Q635" t="b">
        <v>0</v>
      </c>
      <c r="R635" t="b">
        <v>0</v>
      </c>
      <c r="S635" t="s">
        <v>71</v>
      </c>
      <c r="T635" t="str">
        <f>_xlfn.TEXTBEFORE(Table2[[#This Row],[category &amp; sub-category]],"/")</f>
        <v>film &amp; video</v>
      </c>
      <c r="U635" t="str">
        <f>_xlfn.TEXTAFTER(Table2[[#This Row],[category &amp; sub-category]],"/")</f>
        <v>animation</v>
      </c>
    </row>
    <row r="636" spans="1:21" ht="17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5">
        <f>100*Table2[[#This Row],[pledged]]/Table2[[#This Row],[goal]]</f>
        <v>78.531302876480538</v>
      </c>
      <c r="G636" t="s">
        <v>74</v>
      </c>
      <c r="H636">
        <v>1658</v>
      </c>
      <c r="I636" s="4">
        <f>IF(Table2[[#This Row],[pledged]]&gt;0,Table2[[#This Row],[pledged]]/Table2[[#This Row],[backers_count]],0)</f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8">
        <f t="shared" si="18"/>
        <v>42819.208333333328</v>
      </c>
      <c r="O636" s="8">
        <f t="shared" si="19"/>
        <v>42833.208333333328</v>
      </c>
      <c r="P636" s="5">
        <f>_xlfn.DAYS(Table2[[#This Row],[Date Ended Conversion]],Table2[[#This Row],[Date Created Conversion]])+1</f>
        <v>15</v>
      </c>
      <c r="Q636" t="b">
        <v>0</v>
      </c>
      <c r="R636" t="b">
        <v>0</v>
      </c>
      <c r="S636" t="s">
        <v>269</v>
      </c>
      <c r="T636" t="str">
        <f>_xlfn.TEXTBEFORE(Table2[[#This Row],[category &amp; sub-category]],"/")</f>
        <v>film &amp; video</v>
      </c>
      <c r="U636" t="str">
        <f>_xlfn.TEXTAFTER(Table2[[#This Row],[category &amp; sub-category]],"/")</f>
        <v>television</v>
      </c>
    </row>
    <row r="637" spans="1:21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5">
        <f>100*Table2[[#This Row],[pledged]]/Table2[[#This Row],[goal]]</f>
        <v>114.09352517985612</v>
      </c>
      <c r="G637" t="s">
        <v>20</v>
      </c>
      <c r="H637">
        <v>2266</v>
      </c>
      <c r="I637" s="4">
        <f>IF(Table2[[#This Row],[pledged]]&gt;0,Table2[[#This Row],[pledged]]/Table2[[#This Row],[backers_count]],0)</f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8">
        <f t="shared" si="18"/>
        <v>41314.25</v>
      </c>
      <c r="O637" s="8">
        <f t="shared" si="19"/>
        <v>41346.208333333336</v>
      </c>
      <c r="P637" s="5">
        <f>_xlfn.DAYS(Table2[[#This Row],[Date Ended Conversion]],Table2[[#This Row],[Date Created Conversion]])+1</f>
        <v>33</v>
      </c>
      <c r="Q637" t="b">
        <v>0</v>
      </c>
      <c r="R637" t="b">
        <v>0</v>
      </c>
      <c r="S637" t="s">
        <v>269</v>
      </c>
      <c r="T637" t="str">
        <f>_xlfn.TEXTBEFORE(Table2[[#This Row],[category &amp; sub-category]],"/")</f>
        <v>film &amp; video</v>
      </c>
      <c r="U637" t="str">
        <f>_xlfn.TEXTAFTER(Table2[[#This Row],[category &amp; sub-category]],"/")</f>
        <v>television</v>
      </c>
    </row>
    <row r="638" spans="1:21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5">
        <f>100*Table2[[#This Row],[pledged]]/Table2[[#This Row],[goal]]</f>
        <v>64.537683358624179</v>
      </c>
      <c r="G638" t="s">
        <v>14</v>
      </c>
      <c r="H638">
        <v>2604</v>
      </c>
      <c r="I638" s="4">
        <f>IF(Table2[[#This Row],[pledged]]&gt;0,Table2[[#This Row],[pledged]]/Table2[[#This Row],[backers_count]],0)</f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8">
        <f t="shared" si="18"/>
        <v>40926.25</v>
      </c>
      <c r="O638" s="8">
        <f t="shared" si="19"/>
        <v>40971.25</v>
      </c>
      <c r="P638" s="5">
        <f>_xlfn.DAYS(Table2[[#This Row],[Date Ended Conversion]],Table2[[#This Row],[Date Created Conversion]])+1</f>
        <v>46</v>
      </c>
      <c r="Q638" t="b">
        <v>0</v>
      </c>
      <c r="R638" t="b">
        <v>1</v>
      </c>
      <c r="S638" t="s">
        <v>71</v>
      </c>
      <c r="T638" t="str">
        <f>_xlfn.TEXTBEFORE(Table2[[#This Row],[category &amp; sub-category]],"/")</f>
        <v>film &amp; video</v>
      </c>
      <c r="U638" t="str">
        <f>_xlfn.TEXTAFTER(Table2[[#This Row],[category &amp; sub-category]],"/")</f>
        <v>animation</v>
      </c>
    </row>
    <row r="639" spans="1:21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5">
        <f>100*Table2[[#This Row],[pledged]]/Table2[[#This Row],[goal]]</f>
        <v>79.411764705882348</v>
      </c>
      <c r="G639" t="s">
        <v>14</v>
      </c>
      <c r="H639">
        <v>65</v>
      </c>
      <c r="I639" s="4">
        <f>IF(Table2[[#This Row],[pledged]]&gt;0,Table2[[#This Row],[pledged]]/Table2[[#This Row],[backers_count]],0)</f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8">
        <f t="shared" si="18"/>
        <v>42688.25</v>
      </c>
      <c r="O639" s="8">
        <f t="shared" si="19"/>
        <v>42696.25</v>
      </c>
      <c r="P639" s="5">
        <f>_xlfn.DAYS(Table2[[#This Row],[Date Ended Conversion]],Table2[[#This Row],[Date Created Conversion]])+1</f>
        <v>9</v>
      </c>
      <c r="Q639" t="b">
        <v>0</v>
      </c>
      <c r="R639" t="b">
        <v>0</v>
      </c>
      <c r="S639" t="s">
        <v>33</v>
      </c>
      <c r="T639" t="str">
        <f>_xlfn.TEXTBEFORE(Table2[[#This Row],[category &amp; sub-category]],"/")</f>
        <v>theater</v>
      </c>
      <c r="U639" t="str">
        <f>_xlfn.TEXTAFTER(Table2[[#This Row],[category &amp; sub-category]],"/")</f>
        <v>plays</v>
      </c>
    </row>
    <row r="640" spans="1:21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5">
        <f>100*Table2[[#This Row],[pledged]]/Table2[[#This Row],[goal]]</f>
        <v>11.419117647058824</v>
      </c>
      <c r="G640" t="s">
        <v>14</v>
      </c>
      <c r="H640">
        <v>94</v>
      </c>
      <c r="I640" s="4">
        <f>IF(Table2[[#This Row],[pledged]]&gt;0,Table2[[#This Row],[pledged]]/Table2[[#This Row],[backers_count]],0)</f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8">
        <f t="shared" si="18"/>
        <v>40386.208333333336</v>
      </c>
      <c r="O640" s="8">
        <f t="shared" si="19"/>
        <v>40398.208333333336</v>
      </c>
      <c r="P640" s="5">
        <f>_xlfn.DAYS(Table2[[#This Row],[Date Ended Conversion]],Table2[[#This Row],[Date Created Conversion]])+1</f>
        <v>13</v>
      </c>
      <c r="Q640" t="b">
        <v>0</v>
      </c>
      <c r="R640" t="b">
        <v>1</v>
      </c>
      <c r="S640" t="s">
        <v>33</v>
      </c>
      <c r="T640" t="str">
        <f>_xlfn.TEXTBEFORE(Table2[[#This Row],[category &amp; sub-category]],"/")</f>
        <v>theater</v>
      </c>
      <c r="U640" t="str">
        <f>_xlfn.TEXTAFTER(Table2[[#This Row],[category &amp; sub-category]],"/")</f>
        <v>plays</v>
      </c>
    </row>
    <row r="641" spans="1:21" ht="17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5">
        <f>100*Table2[[#This Row],[pledged]]/Table2[[#This Row],[goal]]</f>
        <v>56.186046511627907</v>
      </c>
      <c r="G641" t="s">
        <v>47</v>
      </c>
      <c r="H641">
        <v>45</v>
      </c>
      <c r="I641" s="4">
        <f>IF(Table2[[#This Row],[pledged]]&gt;0,Table2[[#This Row],[pledged]]/Table2[[#This Row],[backers_count]],0)</f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8">
        <f t="shared" si="18"/>
        <v>43309.208333333328</v>
      </c>
      <c r="O641" s="8">
        <f t="shared" si="19"/>
        <v>43309.208333333328</v>
      </c>
      <c r="P641" s="5">
        <f>_xlfn.DAYS(Table2[[#This Row],[Date Ended Conversion]],Table2[[#This Row],[Date Created Conversion]])+1</f>
        <v>1</v>
      </c>
      <c r="Q641" t="b">
        <v>0</v>
      </c>
      <c r="R641" t="b">
        <v>1</v>
      </c>
      <c r="S641" t="s">
        <v>53</v>
      </c>
      <c r="T641" t="str">
        <f>_xlfn.TEXTBEFORE(Table2[[#This Row],[category &amp; sub-category]],"/")</f>
        <v>film &amp; video</v>
      </c>
      <c r="U641" t="str">
        <f>_xlfn.TEXTAFTER(Table2[[#This Row],[category &amp; sub-category]],"/")</f>
        <v>drama</v>
      </c>
    </row>
    <row r="642" spans="1:21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5">
        <f>100*Table2[[#This Row],[pledged]]/Table2[[#This Row],[goal]]</f>
        <v>16.501669449081803</v>
      </c>
      <c r="G642" t="s">
        <v>14</v>
      </c>
      <c r="H642">
        <v>257</v>
      </c>
      <c r="I642" s="4">
        <f>IF(Table2[[#This Row],[pledged]]&gt;0,Table2[[#This Row],[pledged]]/Table2[[#This Row],[backers_count]],0)</f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8">
        <f t="shared" ref="N642:N705" si="20">(((L642/60)/60)/24)+DATE(1970,1,1)</f>
        <v>42387.25</v>
      </c>
      <c r="O642" s="8">
        <f t="shared" ref="O642:O705" si="21">(((M642/60)/60)/24)+DATE(1970,1,1)</f>
        <v>42390.25</v>
      </c>
      <c r="P642" s="5">
        <f>_xlfn.DAYS(Table2[[#This Row],[Date Ended Conversion]],Table2[[#This Row],[Date Created Conversion]])+1</f>
        <v>4</v>
      </c>
      <c r="Q642" t="b">
        <v>0</v>
      </c>
      <c r="R642" t="b">
        <v>0</v>
      </c>
      <c r="S642" t="s">
        <v>33</v>
      </c>
      <c r="T642" t="str">
        <f>_xlfn.TEXTBEFORE(Table2[[#This Row],[category &amp; sub-category]],"/")</f>
        <v>theater</v>
      </c>
      <c r="U642" t="str">
        <f>_xlfn.TEXTAFTER(Table2[[#This Row],[category &amp; sub-category]],"/")</f>
        <v>plays</v>
      </c>
    </row>
    <row r="643" spans="1:21" ht="34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5">
        <f>100*Table2[[#This Row],[pledged]]/Table2[[#This Row],[goal]]</f>
        <v>119.96808510638297</v>
      </c>
      <c r="G643" t="s">
        <v>20</v>
      </c>
      <c r="H643">
        <v>194</v>
      </c>
      <c r="I643" s="4">
        <f>IF(Table2[[#This Row],[pledged]]&gt;0,Table2[[#This Row],[pledged]]/Table2[[#This Row],[backers_count]],0)</f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8">
        <f t="shared" si="20"/>
        <v>42786.25</v>
      </c>
      <c r="O643" s="8">
        <f t="shared" si="21"/>
        <v>42814.208333333328</v>
      </c>
      <c r="P643" s="5">
        <f>_xlfn.DAYS(Table2[[#This Row],[Date Ended Conversion]],Table2[[#This Row],[Date Created Conversion]])+1</f>
        <v>29</v>
      </c>
      <c r="Q643" t="b">
        <v>0</v>
      </c>
      <c r="R643" t="b">
        <v>0</v>
      </c>
      <c r="S643" t="s">
        <v>33</v>
      </c>
      <c r="T643" t="str">
        <f>_xlfn.TEXTBEFORE(Table2[[#This Row],[category &amp; sub-category]],"/")</f>
        <v>theater</v>
      </c>
      <c r="U643" t="str">
        <f>_xlfn.TEXTAFTER(Table2[[#This Row],[category &amp; sub-category]],"/")</f>
        <v>plays</v>
      </c>
    </row>
    <row r="644" spans="1:21" ht="17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5">
        <f>100*Table2[[#This Row],[pledged]]/Table2[[#This Row],[goal]]</f>
        <v>145.45652173913044</v>
      </c>
      <c r="G644" t="s">
        <v>20</v>
      </c>
      <c r="H644">
        <v>129</v>
      </c>
      <c r="I644" s="4">
        <f>IF(Table2[[#This Row],[pledged]]&gt;0,Table2[[#This Row],[pledged]]/Table2[[#This Row],[backers_count]],0)</f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8">
        <f t="shared" si="20"/>
        <v>43451.25</v>
      </c>
      <c r="O644" s="8">
        <f t="shared" si="21"/>
        <v>43460.25</v>
      </c>
      <c r="P644" s="5">
        <f>_xlfn.DAYS(Table2[[#This Row],[Date Ended Conversion]],Table2[[#This Row],[Date Created Conversion]])+1</f>
        <v>10</v>
      </c>
      <c r="Q644" t="b">
        <v>0</v>
      </c>
      <c r="R644" t="b">
        <v>0</v>
      </c>
      <c r="S644" t="s">
        <v>65</v>
      </c>
      <c r="T644" t="str">
        <f>_xlfn.TEXTBEFORE(Table2[[#This Row],[category &amp; sub-category]],"/")</f>
        <v>technology</v>
      </c>
      <c r="U644" t="str">
        <f>_xlfn.TEXTAFTER(Table2[[#This Row],[category &amp; sub-category]],"/")</f>
        <v>wearables</v>
      </c>
    </row>
    <row r="645" spans="1:21" ht="17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5">
        <f>100*Table2[[#This Row],[pledged]]/Table2[[#This Row],[goal]]</f>
        <v>221.38255033557047</v>
      </c>
      <c r="G645" t="s">
        <v>20</v>
      </c>
      <c r="H645">
        <v>375</v>
      </c>
      <c r="I645" s="4">
        <f>IF(Table2[[#This Row],[pledged]]&gt;0,Table2[[#This Row],[pledged]]/Table2[[#This Row],[backers_count]],0)</f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8">
        <f t="shared" si="20"/>
        <v>42795.25</v>
      </c>
      <c r="O645" s="8">
        <f t="shared" si="21"/>
        <v>42813.208333333328</v>
      </c>
      <c r="P645" s="5">
        <f>_xlfn.DAYS(Table2[[#This Row],[Date Ended Conversion]],Table2[[#This Row],[Date Created Conversion]])+1</f>
        <v>19</v>
      </c>
      <c r="Q645" t="b">
        <v>0</v>
      </c>
      <c r="R645" t="b">
        <v>0</v>
      </c>
      <c r="S645" t="s">
        <v>33</v>
      </c>
      <c r="T645" t="str">
        <f>_xlfn.TEXTBEFORE(Table2[[#This Row],[category &amp; sub-category]],"/")</f>
        <v>theater</v>
      </c>
      <c r="U645" t="str">
        <f>_xlfn.TEXTAFTER(Table2[[#This Row],[category &amp; sub-category]],"/")</f>
        <v>plays</v>
      </c>
    </row>
    <row r="646" spans="1:21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5">
        <f>100*Table2[[#This Row],[pledged]]/Table2[[#This Row],[goal]]</f>
        <v>48.396694214876035</v>
      </c>
      <c r="G646" t="s">
        <v>14</v>
      </c>
      <c r="H646">
        <v>2928</v>
      </c>
      <c r="I646" s="4">
        <f>IF(Table2[[#This Row],[pledged]]&gt;0,Table2[[#This Row],[pledged]]/Table2[[#This Row],[backers_count]],0)</f>
        <v>28</v>
      </c>
      <c r="J646" t="s">
        <v>15</v>
      </c>
      <c r="K646" t="s">
        <v>16</v>
      </c>
      <c r="L646">
        <v>1545112800</v>
      </c>
      <c r="M646">
        <v>1546495200</v>
      </c>
      <c r="N646" s="8">
        <f t="shared" si="20"/>
        <v>43452.25</v>
      </c>
      <c r="O646" s="8">
        <f t="shared" si="21"/>
        <v>43468.25</v>
      </c>
      <c r="P646" s="5">
        <f>_xlfn.DAYS(Table2[[#This Row],[Date Ended Conversion]],Table2[[#This Row],[Date Created Conversion]])+1</f>
        <v>17</v>
      </c>
      <c r="Q646" t="b">
        <v>0</v>
      </c>
      <c r="R646" t="b">
        <v>0</v>
      </c>
      <c r="S646" t="s">
        <v>33</v>
      </c>
      <c r="T646" t="str">
        <f>_xlfn.TEXTBEFORE(Table2[[#This Row],[category &amp; sub-category]],"/")</f>
        <v>theater</v>
      </c>
      <c r="U646" t="str">
        <f>_xlfn.TEXTAFTER(Table2[[#This Row],[category &amp; sub-category]],"/")</f>
        <v>plays</v>
      </c>
    </row>
    <row r="647" spans="1:21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5">
        <f>100*Table2[[#This Row],[pledged]]/Table2[[#This Row],[goal]]</f>
        <v>92.911504424778755</v>
      </c>
      <c r="G647" t="s">
        <v>14</v>
      </c>
      <c r="H647">
        <v>4697</v>
      </c>
      <c r="I647" s="4">
        <f>IF(Table2[[#This Row],[pledged]]&gt;0,Table2[[#This Row],[pledged]]/Table2[[#This Row],[backers_count]],0)</f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8">
        <f t="shared" si="20"/>
        <v>43369.208333333328</v>
      </c>
      <c r="O647" s="8">
        <f t="shared" si="21"/>
        <v>43390.208333333328</v>
      </c>
      <c r="P647" s="5">
        <f>_xlfn.DAYS(Table2[[#This Row],[Date Ended Conversion]],Table2[[#This Row],[Date Created Conversion]])+1</f>
        <v>22</v>
      </c>
      <c r="Q647" t="b">
        <v>0</v>
      </c>
      <c r="R647" t="b">
        <v>1</v>
      </c>
      <c r="S647" t="s">
        <v>23</v>
      </c>
      <c r="T647" t="str">
        <f>_xlfn.TEXTBEFORE(Table2[[#This Row],[category &amp; sub-category]],"/")</f>
        <v>music</v>
      </c>
      <c r="U647" t="str">
        <f>_xlfn.TEXTAFTER(Table2[[#This Row],[category &amp; sub-category]],"/")</f>
        <v>rock</v>
      </c>
    </row>
    <row r="648" spans="1:21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5">
        <f>100*Table2[[#This Row],[pledged]]/Table2[[#This Row],[goal]]</f>
        <v>88.59979736575481</v>
      </c>
      <c r="G648" t="s">
        <v>14</v>
      </c>
      <c r="H648">
        <v>2915</v>
      </c>
      <c r="I648" s="4">
        <f>IF(Table2[[#This Row],[pledged]]&gt;0,Table2[[#This Row],[pledged]]/Table2[[#This Row],[backers_count]],0)</f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8">
        <f t="shared" si="20"/>
        <v>41346.208333333336</v>
      </c>
      <c r="O648" s="8">
        <f t="shared" si="21"/>
        <v>41357.208333333336</v>
      </c>
      <c r="P648" s="5">
        <f>_xlfn.DAYS(Table2[[#This Row],[Date Ended Conversion]],Table2[[#This Row],[Date Created Conversion]])+1</f>
        <v>12</v>
      </c>
      <c r="Q648" t="b">
        <v>0</v>
      </c>
      <c r="R648" t="b">
        <v>0</v>
      </c>
      <c r="S648" t="s">
        <v>89</v>
      </c>
      <c r="T648" t="str">
        <f>_xlfn.TEXTBEFORE(Table2[[#This Row],[category &amp; sub-category]],"/")</f>
        <v>games</v>
      </c>
      <c r="U648" t="str">
        <f>_xlfn.TEXTAFTER(Table2[[#This Row],[category &amp; sub-category]],"/")</f>
        <v>video games</v>
      </c>
    </row>
    <row r="649" spans="1:21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5">
        <f>100*Table2[[#This Row],[pledged]]/Table2[[#This Row],[goal]]</f>
        <v>41.4</v>
      </c>
      <c r="G649" t="s">
        <v>14</v>
      </c>
      <c r="H649">
        <v>18</v>
      </c>
      <c r="I649" s="4">
        <f>IF(Table2[[#This Row],[pledged]]&gt;0,Table2[[#This Row],[pledged]]/Table2[[#This Row],[backers_count]],0)</f>
        <v>103.5</v>
      </c>
      <c r="J649" t="s">
        <v>21</v>
      </c>
      <c r="K649" t="s">
        <v>22</v>
      </c>
      <c r="L649">
        <v>1523250000</v>
      </c>
      <c r="M649">
        <v>1525323600</v>
      </c>
      <c r="N649" s="8">
        <f t="shared" si="20"/>
        <v>43199.208333333328</v>
      </c>
      <c r="O649" s="8">
        <f t="shared" si="21"/>
        <v>43223.208333333328</v>
      </c>
      <c r="P649" s="5">
        <f>_xlfn.DAYS(Table2[[#This Row],[Date Ended Conversion]],Table2[[#This Row],[Date Created Conversion]])+1</f>
        <v>25</v>
      </c>
      <c r="Q649" t="b">
        <v>0</v>
      </c>
      <c r="R649" t="b">
        <v>0</v>
      </c>
      <c r="S649" t="s">
        <v>206</v>
      </c>
      <c r="T649" t="str">
        <f>_xlfn.TEXTBEFORE(Table2[[#This Row],[category &amp; sub-category]],"/")</f>
        <v>publishing</v>
      </c>
      <c r="U649" t="str">
        <f>_xlfn.TEXTAFTER(Table2[[#This Row],[category &amp; sub-category]],"/")</f>
        <v>translations</v>
      </c>
    </row>
    <row r="650" spans="1:21" ht="17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5">
        <f>100*Table2[[#This Row],[pledged]]/Table2[[#This Row],[goal]]</f>
        <v>63.056795131845838</v>
      </c>
      <c r="G650" t="s">
        <v>74</v>
      </c>
      <c r="H650">
        <v>723</v>
      </c>
      <c r="I650" s="4">
        <f>IF(Table2[[#This Row],[pledged]]&gt;0,Table2[[#This Row],[pledged]]/Table2[[#This Row],[backers_count]],0)</f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8">
        <f t="shared" si="20"/>
        <v>42922.208333333328</v>
      </c>
      <c r="O650" s="8">
        <f t="shared" si="21"/>
        <v>42940.208333333328</v>
      </c>
      <c r="P650" s="5">
        <f>_xlfn.DAYS(Table2[[#This Row],[Date Ended Conversion]],Table2[[#This Row],[Date Created Conversion]])+1</f>
        <v>19</v>
      </c>
      <c r="Q650" t="b">
        <v>1</v>
      </c>
      <c r="R650" t="b">
        <v>0</v>
      </c>
      <c r="S650" t="s">
        <v>17</v>
      </c>
      <c r="T650" t="str">
        <f>_xlfn.TEXTBEFORE(Table2[[#This Row],[category &amp; sub-category]],"/")</f>
        <v>food</v>
      </c>
      <c r="U650" t="str">
        <f>_xlfn.TEXTAFTER(Table2[[#This Row],[category &amp; sub-category]],"/")</f>
        <v>food trucks</v>
      </c>
    </row>
    <row r="651" spans="1:21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5">
        <f>100*Table2[[#This Row],[pledged]]/Table2[[#This Row],[goal]]</f>
        <v>48.482333607230899</v>
      </c>
      <c r="G651" t="s">
        <v>14</v>
      </c>
      <c r="H651">
        <v>602</v>
      </c>
      <c r="I651" s="4">
        <f>IF(Table2[[#This Row],[pledged]]&gt;0,Table2[[#This Row],[pledged]]/Table2[[#This Row],[backers_count]],0)</f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8">
        <f t="shared" si="20"/>
        <v>40471.208333333336</v>
      </c>
      <c r="O651" s="8">
        <f t="shared" si="21"/>
        <v>40482.208333333336</v>
      </c>
      <c r="P651" s="5">
        <f>_xlfn.DAYS(Table2[[#This Row],[Date Ended Conversion]],Table2[[#This Row],[Date Created Conversion]])+1</f>
        <v>12</v>
      </c>
      <c r="Q651" t="b">
        <v>1</v>
      </c>
      <c r="R651" t="b">
        <v>1</v>
      </c>
      <c r="S651" t="s">
        <v>33</v>
      </c>
      <c r="T651" t="str">
        <f>_xlfn.TEXTBEFORE(Table2[[#This Row],[category &amp; sub-category]],"/")</f>
        <v>theater</v>
      </c>
      <c r="U651" t="str">
        <f>_xlfn.TEXTAFTER(Table2[[#This Row],[category &amp; sub-category]],"/")</f>
        <v>plays</v>
      </c>
    </row>
    <row r="652" spans="1:21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5">
        <f>100*Table2[[#This Row],[pledged]]/Table2[[#This Row],[goal]]</f>
        <v>2</v>
      </c>
      <c r="G652" t="s">
        <v>14</v>
      </c>
      <c r="H652">
        <v>1</v>
      </c>
      <c r="I652" s="4">
        <f>IF(Table2[[#This Row],[pledged]]&gt;0,Table2[[#This Row],[pledged]]/Table2[[#This Row],[backers_count]],0)</f>
        <v>2</v>
      </c>
      <c r="J652" t="s">
        <v>21</v>
      </c>
      <c r="K652" t="s">
        <v>22</v>
      </c>
      <c r="L652">
        <v>1404795600</v>
      </c>
      <c r="M652">
        <v>1407128400</v>
      </c>
      <c r="N652" s="8">
        <f t="shared" si="20"/>
        <v>41828.208333333336</v>
      </c>
      <c r="O652" s="8">
        <f t="shared" si="21"/>
        <v>41855.208333333336</v>
      </c>
      <c r="P652" s="5">
        <f>_xlfn.DAYS(Table2[[#This Row],[Date Ended Conversion]],Table2[[#This Row],[Date Created Conversion]])+1</f>
        <v>28</v>
      </c>
      <c r="Q652" t="b">
        <v>0</v>
      </c>
      <c r="R652" t="b">
        <v>0</v>
      </c>
      <c r="S652" t="s">
        <v>159</v>
      </c>
      <c r="T652" t="str">
        <f>_xlfn.TEXTBEFORE(Table2[[#This Row],[category &amp; sub-category]],"/")</f>
        <v>music</v>
      </c>
      <c r="U652" t="str">
        <f>_xlfn.TEXTAFTER(Table2[[#This Row],[category &amp; sub-category]],"/")</f>
        <v>jazz</v>
      </c>
    </row>
    <row r="653" spans="1:21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5">
        <f>100*Table2[[#This Row],[pledged]]/Table2[[#This Row],[goal]]</f>
        <v>88.47941026944585</v>
      </c>
      <c r="G653" t="s">
        <v>14</v>
      </c>
      <c r="H653">
        <v>3868</v>
      </c>
      <c r="I653" s="4">
        <f>IF(Table2[[#This Row],[pledged]]&gt;0,Table2[[#This Row],[pledged]]/Table2[[#This Row],[backers_count]],0)</f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8">
        <f t="shared" si="20"/>
        <v>41692.25</v>
      </c>
      <c r="O653" s="8">
        <f t="shared" si="21"/>
        <v>41707.25</v>
      </c>
      <c r="P653" s="5">
        <f>_xlfn.DAYS(Table2[[#This Row],[Date Ended Conversion]],Table2[[#This Row],[Date Created Conversion]])+1</f>
        <v>16</v>
      </c>
      <c r="Q653" t="b">
        <v>0</v>
      </c>
      <c r="R653" t="b">
        <v>0</v>
      </c>
      <c r="S653" t="s">
        <v>100</v>
      </c>
      <c r="T653" t="str">
        <f>_xlfn.TEXTBEFORE(Table2[[#This Row],[category &amp; sub-category]],"/")</f>
        <v>film &amp; video</v>
      </c>
      <c r="U653" t="str">
        <f>_xlfn.TEXTAFTER(Table2[[#This Row],[category &amp; sub-category]],"/")</f>
        <v>shorts</v>
      </c>
    </row>
    <row r="654" spans="1:21" ht="17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5">
        <f>100*Table2[[#This Row],[pledged]]/Table2[[#This Row],[goal]]</f>
        <v>126.84</v>
      </c>
      <c r="G654" t="s">
        <v>20</v>
      </c>
      <c r="H654">
        <v>409</v>
      </c>
      <c r="I654" s="4">
        <f>IF(Table2[[#This Row],[pledged]]&gt;0,Table2[[#This Row],[pledged]]/Table2[[#This Row],[backers_count]],0)</f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8">
        <f t="shared" si="20"/>
        <v>42587.208333333328</v>
      </c>
      <c r="O654" s="8">
        <f t="shared" si="21"/>
        <v>42630.208333333328</v>
      </c>
      <c r="P654" s="5">
        <f>_xlfn.DAYS(Table2[[#This Row],[Date Ended Conversion]],Table2[[#This Row],[Date Created Conversion]])+1</f>
        <v>44</v>
      </c>
      <c r="Q654" t="b">
        <v>0</v>
      </c>
      <c r="R654" t="b">
        <v>0</v>
      </c>
      <c r="S654" t="s">
        <v>28</v>
      </c>
      <c r="T654" t="str">
        <f>_xlfn.TEXTBEFORE(Table2[[#This Row],[category &amp; sub-category]],"/")</f>
        <v>technology</v>
      </c>
      <c r="U654" t="str">
        <f>_xlfn.TEXTAFTER(Table2[[#This Row],[category &amp; sub-category]],"/")</f>
        <v>web</v>
      </c>
    </row>
    <row r="655" spans="1:21" ht="17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5">
        <f>100*Table2[[#This Row],[pledged]]/Table2[[#This Row],[goal]]</f>
        <v>2338.8333333333335</v>
      </c>
      <c r="G655" t="s">
        <v>20</v>
      </c>
      <c r="H655">
        <v>234</v>
      </c>
      <c r="I655" s="4">
        <f>IF(Table2[[#This Row],[pledged]]&gt;0,Table2[[#This Row],[pledged]]/Table2[[#This Row],[backers_count]],0)</f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8">
        <f t="shared" si="20"/>
        <v>42468.208333333328</v>
      </c>
      <c r="O655" s="8">
        <f t="shared" si="21"/>
        <v>42470.208333333328</v>
      </c>
      <c r="P655" s="5">
        <f>_xlfn.DAYS(Table2[[#This Row],[Date Ended Conversion]],Table2[[#This Row],[Date Created Conversion]])+1</f>
        <v>3</v>
      </c>
      <c r="Q655" t="b">
        <v>0</v>
      </c>
      <c r="R655" t="b">
        <v>0</v>
      </c>
      <c r="S655" t="s">
        <v>28</v>
      </c>
      <c r="T655" t="str">
        <f>_xlfn.TEXTBEFORE(Table2[[#This Row],[category &amp; sub-category]],"/")</f>
        <v>technology</v>
      </c>
      <c r="U655" t="str">
        <f>_xlfn.TEXTAFTER(Table2[[#This Row],[category &amp; sub-category]],"/")</f>
        <v>web</v>
      </c>
    </row>
    <row r="656" spans="1:21" ht="17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5">
        <f>100*Table2[[#This Row],[pledged]]/Table2[[#This Row],[goal]]</f>
        <v>508.38857142857142</v>
      </c>
      <c r="G656" t="s">
        <v>20</v>
      </c>
      <c r="H656">
        <v>3016</v>
      </c>
      <c r="I656" s="4">
        <f>IF(Table2[[#This Row],[pledged]]&gt;0,Table2[[#This Row],[pledged]]/Table2[[#This Row],[backers_count]],0)</f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8">
        <f t="shared" si="20"/>
        <v>42240.208333333328</v>
      </c>
      <c r="O656" s="8">
        <f t="shared" si="21"/>
        <v>42245.208333333328</v>
      </c>
      <c r="P656" s="5">
        <f>_xlfn.DAYS(Table2[[#This Row],[Date Ended Conversion]],Table2[[#This Row],[Date Created Conversion]])+1</f>
        <v>6</v>
      </c>
      <c r="Q656" t="b">
        <v>0</v>
      </c>
      <c r="R656" t="b">
        <v>0</v>
      </c>
      <c r="S656" t="s">
        <v>148</v>
      </c>
      <c r="T656" t="str">
        <f>_xlfn.TEXTBEFORE(Table2[[#This Row],[category &amp; sub-category]],"/")</f>
        <v>music</v>
      </c>
      <c r="U656" t="str">
        <f>_xlfn.TEXTAFTER(Table2[[#This Row],[category &amp; sub-category]],"/")</f>
        <v>metal</v>
      </c>
    </row>
    <row r="657" spans="1:21" ht="17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5">
        <f>100*Table2[[#This Row],[pledged]]/Table2[[#This Row],[goal]]</f>
        <v>191.47826086956522</v>
      </c>
      <c r="G657" t="s">
        <v>20</v>
      </c>
      <c r="H657">
        <v>264</v>
      </c>
      <c r="I657" s="4">
        <f>IF(Table2[[#This Row],[pledged]]&gt;0,Table2[[#This Row],[pledged]]/Table2[[#This Row],[backers_count]],0)</f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8">
        <f t="shared" si="20"/>
        <v>42796.25</v>
      </c>
      <c r="O657" s="8">
        <f t="shared" si="21"/>
        <v>42809.208333333328</v>
      </c>
      <c r="P657" s="5">
        <f>_xlfn.DAYS(Table2[[#This Row],[Date Ended Conversion]],Table2[[#This Row],[Date Created Conversion]])+1</f>
        <v>14</v>
      </c>
      <c r="Q657" t="b">
        <v>1</v>
      </c>
      <c r="R657" t="b">
        <v>0</v>
      </c>
      <c r="S657" t="s">
        <v>122</v>
      </c>
      <c r="T657" t="str">
        <f>_xlfn.TEXTBEFORE(Table2[[#This Row],[category &amp; sub-category]],"/")</f>
        <v>photography</v>
      </c>
      <c r="U657" t="str">
        <f>_xlfn.TEXTAFTER(Table2[[#This Row],[category &amp; sub-category]],"/")</f>
        <v>photography books</v>
      </c>
    </row>
    <row r="658" spans="1:21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5">
        <f>100*Table2[[#This Row],[pledged]]/Table2[[#This Row],[goal]]</f>
        <v>42.127533783783782</v>
      </c>
      <c r="G658" t="s">
        <v>14</v>
      </c>
      <c r="H658">
        <v>504</v>
      </c>
      <c r="I658" s="4">
        <f>IF(Table2[[#This Row],[pledged]]&gt;0,Table2[[#This Row],[pledged]]/Table2[[#This Row],[backers_count]],0)</f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8">
        <f t="shared" si="20"/>
        <v>43097.25</v>
      </c>
      <c r="O658" s="8">
        <f t="shared" si="21"/>
        <v>43102.25</v>
      </c>
      <c r="P658" s="5">
        <f>_xlfn.DAYS(Table2[[#This Row],[Date Ended Conversion]],Table2[[#This Row],[Date Created Conversion]])+1</f>
        <v>6</v>
      </c>
      <c r="Q658" t="b">
        <v>0</v>
      </c>
      <c r="R658" t="b">
        <v>0</v>
      </c>
      <c r="S658" t="s">
        <v>17</v>
      </c>
      <c r="T658" t="str">
        <f>_xlfn.TEXTBEFORE(Table2[[#This Row],[category &amp; sub-category]],"/")</f>
        <v>food</v>
      </c>
      <c r="U658" t="str">
        <f>_xlfn.TEXTAFTER(Table2[[#This Row],[category &amp; sub-category]],"/")</f>
        <v>food trucks</v>
      </c>
    </row>
    <row r="659" spans="1:21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5">
        <f>100*Table2[[#This Row],[pledged]]/Table2[[#This Row],[goal]]</f>
        <v>8.24</v>
      </c>
      <c r="G659" t="s">
        <v>14</v>
      </c>
      <c r="H659">
        <v>14</v>
      </c>
      <c r="I659" s="4">
        <f>IF(Table2[[#This Row],[pledged]]&gt;0,Table2[[#This Row],[pledged]]/Table2[[#This Row],[backers_count]],0)</f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8">
        <f t="shared" si="20"/>
        <v>43096.25</v>
      </c>
      <c r="O659" s="8">
        <f t="shared" si="21"/>
        <v>43112.25</v>
      </c>
      <c r="P659" s="5">
        <f>_xlfn.DAYS(Table2[[#This Row],[Date Ended Conversion]],Table2[[#This Row],[Date Created Conversion]])+1</f>
        <v>17</v>
      </c>
      <c r="Q659" t="b">
        <v>0</v>
      </c>
      <c r="R659" t="b">
        <v>0</v>
      </c>
      <c r="S659" t="s">
        <v>474</v>
      </c>
      <c r="T659" t="str">
        <f>_xlfn.TEXTBEFORE(Table2[[#This Row],[category &amp; sub-category]],"/")</f>
        <v>film &amp; video</v>
      </c>
      <c r="U659" t="str">
        <f>_xlfn.TEXTAFTER(Table2[[#This Row],[category &amp; sub-category]],"/")</f>
        <v>science fiction</v>
      </c>
    </row>
    <row r="660" spans="1:21" ht="17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5">
        <f>100*Table2[[#This Row],[pledged]]/Table2[[#This Row],[goal]]</f>
        <v>60.064638783269963</v>
      </c>
      <c r="G660" t="s">
        <v>74</v>
      </c>
      <c r="H660">
        <v>390</v>
      </c>
      <c r="I660" s="4">
        <f>IF(Table2[[#This Row],[pledged]]&gt;0,Table2[[#This Row],[pledged]]/Table2[[#This Row],[backers_count]],0)</f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8">
        <f t="shared" si="20"/>
        <v>42246.208333333328</v>
      </c>
      <c r="O660" s="8">
        <f t="shared" si="21"/>
        <v>42269.208333333328</v>
      </c>
      <c r="P660" s="5">
        <f>_xlfn.DAYS(Table2[[#This Row],[Date Ended Conversion]],Table2[[#This Row],[Date Created Conversion]])+1</f>
        <v>24</v>
      </c>
      <c r="Q660" t="b">
        <v>0</v>
      </c>
      <c r="R660" t="b">
        <v>0</v>
      </c>
      <c r="S660" t="s">
        <v>23</v>
      </c>
      <c r="T660" t="str">
        <f>_xlfn.TEXTBEFORE(Table2[[#This Row],[category &amp; sub-category]],"/")</f>
        <v>music</v>
      </c>
      <c r="U660" t="str">
        <f>_xlfn.TEXTAFTER(Table2[[#This Row],[category &amp; sub-category]],"/")</f>
        <v>rock</v>
      </c>
    </row>
    <row r="661" spans="1:21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5">
        <f>100*Table2[[#This Row],[pledged]]/Table2[[#This Row],[goal]]</f>
        <v>47.232808616404306</v>
      </c>
      <c r="G661" t="s">
        <v>14</v>
      </c>
      <c r="H661">
        <v>750</v>
      </c>
      <c r="I661" s="4">
        <f>IF(Table2[[#This Row],[pledged]]&gt;0,Table2[[#This Row],[pledged]]/Table2[[#This Row],[backers_count]],0)</f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8">
        <f t="shared" si="20"/>
        <v>40570.25</v>
      </c>
      <c r="O661" s="8">
        <f t="shared" si="21"/>
        <v>40571.25</v>
      </c>
      <c r="P661" s="5">
        <f>_xlfn.DAYS(Table2[[#This Row],[Date Ended Conversion]],Table2[[#This Row],[Date Created Conversion]])+1</f>
        <v>2</v>
      </c>
      <c r="Q661" t="b">
        <v>0</v>
      </c>
      <c r="R661" t="b">
        <v>0</v>
      </c>
      <c r="S661" t="s">
        <v>42</v>
      </c>
      <c r="T661" t="str">
        <f>_xlfn.TEXTBEFORE(Table2[[#This Row],[category &amp; sub-category]],"/")</f>
        <v>film &amp; video</v>
      </c>
      <c r="U661" t="str">
        <f>_xlfn.TEXTAFTER(Table2[[#This Row],[category &amp; sub-category]],"/")</f>
        <v>documentary</v>
      </c>
    </row>
    <row r="662" spans="1:21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5">
        <f>100*Table2[[#This Row],[pledged]]/Table2[[#This Row],[goal]]</f>
        <v>81.736263736263737</v>
      </c>
      <c r="G662" t="s">
        <v>14</v>
      </c>
      <c r="H662">
        <v>77</v>
      </c>
      <c r="I662" s="4">
        <f>IF(Table2[[#This Row],[pledged]]&gt;0,Table2[[#This Row],[pledged]]/Table2[[#This Row],[backers_count]],0)</f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8">
        <f t="shared" si="20"/>
        <v>42237.208333333328</v>
      </c>
      <c r="O662" s="8">
        <f t="shared" si="21"/>
        <v>42246.208333333328</v>
      </c>
      <c r="P662" s="5">
        <f>_xlfn.DAYS(Table2[[#This Row],[Date Ended Conversion]],Table2[[#This Row],[Date Created Conversion]])+1</f>
        <v>10</v>
      </c>
      <c r="Q662" t="b">
        <v>1</v>
      </c>
      <c r="R662" t="b">
        <v>0</v>
      </c>
      <c r="S662" t="s">
        <v>33</v>
      </c>
      <c r="T662" t="str">
        <f>_xlfn.TEXTBEFORE(Table2[[#This Row],[category &amp; sub-category]],"/")</f>
        <v>theater</v>
      </c>
      <c r="U662" t="str">
        <f>_xlfn.TEXTAFTER(Table2[[#This Row],[category &amp; sub-category]],"/")</f>
        <v>plays</v>
      </c>
    </row>
    <row r="663" spans="1:21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5">
        <f>100*Table2[[#This Row],[pledged]]/Table2[[#This Row],[goal]]</f>
        <v>54.187265917602993</v>
      </c>
      <c r="G663" t="s">
        <v>14</v>
      </c>
      <c r="H663">
        <v>752</v>
      </c>
      <c r="I663" s="4">
        <f>IF(Table2[[#This Row],[pledged]]&gt;0,Table2[[#This Row],[pledged]]/Table2[[#This Row],[backers_count]],0)</f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8">
        <f t="shared" si="20"/>
        <v>40996.208333333336</v>
      </c>
      <c r="O663" s="8">
        <f t="shared" si="21"/>
        <v>41026.208333333336</v>
      </c>
      <c r="P663" s="5">
        <f>_xlfn.DAYS(Table2[[#This Row],[Date Ended Conversion]],Table2[[#This Row],[Date Created Conversion]])+1</f>
        <v>31</v>
      </c>
      <c r="Q663" t="b">
        <v>0</v>
      </c>
      <c r="R663" t="b">
        <v>0</v>
      </c>
      <c r="S663" t="s">
        <v>159</v>
      </c>
      <c r="T663" t="str">
        <f>_xlfn.TEXTBEFORE(Table2[[#This Row],[category &amp; sub-category]],"/")</f>
        <v>music</v>
      </c>
      <c r="U663" t="str">
        <f>_xlfn.TEXTAFTER(Table2[[#This Row],[category &amp; sub-category]],"/")</f>
        <v>jazz</v>
      </c>
    </row>
    <row r="664" spans="1:21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5">
        <f>100*Table2[[#This Row],[pledged]]/Table2[[#This Row],[goal]]</f>
        <v>97.868131868131869</v>
      </c>
      <c r="G664" t="s">
        <v>14</v>
      </c>
      <c r="H664">
        <v>131</v>
      </c>
      <c r="I664" s="4">
        <f>IF(Table2[[#This Row],[pledged]]&gt;0,Table2[[#This Row],[pledged]]/Table2[[#This Row],[backers_count]],0)</f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8">
        <f t="shared" si="20"/>
        <v>43443.25</v>
      </c>
      <c r="O664" s="8">
        <f t="shared" si="21"/>
        <v>43447.25</v>
      </c>
      <c r="P664" s="5">
        <f>_xlfn.DAYS(Table2[[#This Row],[Date Ended Conversion]],Table2[[#This Row],[Date Created Conversion]])+1</f>
        <v>5</v>
      </c>
      <c r="Q664" t="b">
        <v>0</v>
      </c>
      <c r="R664" t="b">
        <v>0</v>
      </c>
      <c r="S664" t="s">
        <v>33</v>
      </c>
      <c r="T664" t="str">
        <f>_xlfn.TEXTBEFORE(Table2[[#This Row],[category &amp; sub-category]],"/")</f>
        <v>theater</v>
      </c>
      <c r="U664" t="str">
        <f>_xlfn.TEXTAFTER(Table2[[#This Row],[category &amp; sub-category]],"/")</f>
        <v>plays</v>
      </c>
    </row>
    <row r="665" spans="1:21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5">
        <f>100*Table2[[#This Row],[pledged]]/Table2[[#This Row],[goal]]</f>
        <v>77.239999999999995</v>
      </c>
      <c r="G665" t="s">
        <v>14</v>
      </c>
      <c r="H665">
        <v>87</v>
      </c>
      <c r="I665" s="4">
        <f>IF(Table2[[#This Row],[pledged]]&gt;0,Table2[[#This Row],[pledged]]/Table2[[#This Row],[backers_count]],0)</f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8">
        <f t="shared" si="20"/>
        <v>40458.208333333336</v>
      </c>
      <c r="O665" s="8">
        <f t="shared" si="21"/>
        <v>40481.208333333336</v>
      </c>
      <c r="P665" s="5">
        <f>_xlfn.DAYS(Table2[[#This Row],[Date Ended Conversion]],Table2[[#This Row],[Date Created Conversion]])+1</f>
        <v>24</v>
      </c>
      <c r="Q665" t="b">
        <v>0</v>
      </c>
      <c r="R665" t="b">
        <v>0</v>
      </c>
      <c r="S665" t="s">
        <v>33</v>
      </c>
      <c r="T665" t="str">
        <f>_xlfn.TEXTBEFORE(Table2[[#This Row],[category &amp; sub-category]],"/")</f>
        <v>theater</v>
      </c>
      <c r="U665" t="str">
        <f>_xlfn.TEXTAFTER(Table2[[#This Row],[category &amp; sub-category]],"/")</f>
        <v>plays</v>
      </c>
    </row>
    <row r="666" spans="1:21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5">
        <f>100*Table2[[#This Row],[pledged]]/Table2[[#This Row],[goal]]</f>
        <v>33.464735516372798</v>
      </c>
      <c r="G666" t="s">
        <v>14</v>
      </c>
      <c r="H666">
        <v>1063</v>
      </c>
      <c r="I666" s="4">
        <f>IF(Table2[[#This Row],[pledged]]&gt;0,Table2[[#This Row],[pledged]]/Table2[[#This Row],[backers_count]],0)</f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8">
        <f t="shared" si="20"/>
        <v>40959.25</v>
      </c>
      <c r="O666" s="8">
        <f t="shared" si="21"/>
        <v>40969.25</v>
      </c>
      <c r="P666" s="5">
        <f>_xlfn.DAYS(Table2[[#This Row],[Date Ended Conversion]],Table2[[#This Row],[Date Created Conversion]])+1</f>
        <v>11</v>
      </c>
      <c r="Q666" t="b">
        <v>0</v>
      </c>
      <c r="R666" t="b">
        <v>0</v>
      </c>
      <c r="S666" t="s">
        <v>159</v>
      </c>
      <c r="T666" t="str">
        <f>_xlfn.TEXTBEFORE(Table2[[#This Row],[category &amp; sub-category]],"/")</f>
        <v>music</v>
      </c>
      <c r="U666" t="str">
        <f>_xlfn.TEXTAFTER(Table2[[#This Row],[category &amp; sub-category]],"/")</f>
        <v>jazz</v>
      </c>
    </row>
    <row r="667" spans="1:21" ht="17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5">
        <f>100*Table2[[#This Row],[pledged]]/Table2[[#This Row],[goal]]</f>
        <v>239.58823529411765</v>
      </c>
      <c r="G667" t="s">
        <v>20</v>
      </c>
      <c r="H667">
        <v>272</v>
      </c>
      <c r="I667" s="4">
        <f>IF(Table2[[#This Row],[pledged]]&gt;0,Table2[[#This Row],[pledged]]/Table2[[#This Row],[backers_count]],0)</f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8">
        <f t="shared" si="20"/>
        <v>40733.208333333336</v>
      </c>
      <c r="O667" s="8">
        <f t="shared" si="21"/>
        <v>40747.208333333336</v>
      </c>
      <c r="P667" s="5">
        <f>_xlfn.DAYS(Table2[[#This Row],[Date Ended Conversion]],Table2[[#This Row],[Date Created Conversion]])+1</f>
        <v>15</v>
      </c>
      <c r="Q667" t="b">
        <v>0</v>
      </c>
      <c r="R667" t="b">
        <v>1</v>
      </c>
      <c r="S667" t="s">
        <v>42</v>
      </c>
      <c r="T667" t="str">
        <f>_xlfn.TEXTBEFORE(Table2[[#This Row],[category &amp; sub-category]],"/")</f>
        <v>film &amp; video</v>
      </c>
      <c r="U667" t="str">
        <f>_xlfn.TEXTAFTER(Table2[[#This Row],[category &amp; sub-category]],"/")</f>
        <v>documentary</v>
      </c>
    </row>
    <row r="668" spans="1:21" ht="17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5">
        <f>100*Table2[[#This Row],[pledged]]/Table2[[#This Row],[goal]]</f>
        <v>64.032258064516128</v>
      </c>
      <c r="G668" t="s">
        <v>74</v>
      </c>
      <c r="H668">
        <v>25</v>
      </c>
      <c r="I668" s="4">
        <f>IF(Table2[[#This Row],[pledged]]&gt;0,Table2[[#This Row],[pledged]]/Table2[[#This Row],[backers_count]],0)</f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8">
        <f t="shared" si="20"/>
        <v>41516.208333333336</v>
      </c>
      <c r="O668" s="8">
        <f t="shared" si="21"/>
        <v>41522.208333333336</v>
      </c>
      <c r="P668" s="5">
        <f>_xlfn.DAYS(Table2[[#This Row],[Date Ended Conversion]],Table2[[#This Row],[Date Created Conversion]])+1</f>
        <v>7</v>
      </c>
      <c r="Q668" t="b">
        <v>0</v>
      </c>
      <c r="R668" t="b">
        <v>1</v>
      </c>
      <c r="S668" t="s">
        <v>33</v>
      </c>
      <c r="T668" t="str">
        <f>_xlfn.TEXTBEFORE(Table2[[#This Row],[category &amp; sub-category]],"/")</f>
        <v>theater</v>
      </c>
      <c r="U668" t="str">
        <f>_xlfn.TEXTAFTER(Table2[[#This Row],[category &amp; sub-category]],"/")</f>
        <v>plays</v>
      </c>
    </row>
    <row r="669" spans="1:21" ht="34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5">
        <f>100*Table2[[#This Row],[pledged]]/Table2[[#This Row],[goal]]</f>
        <v>176.15942028985506</v>
      </c>
      <c r="G669" t="s">
        <v>20</v>
      </c>
      <c r="H669">
        <v>419</v>
      </c>
      <c r="I669" s="4">
        <f>IF(Table2[[#This Row],[pledged]]&gt;0,Table2[[#This Row],[pledged]]/Table2[[#This Row],[backers_count]],0)</f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8">
        <f t="shared" si="20"/>
        <v>41892.208333333336</v>
      </c>
      <c r="O669" s="8">
        <f t="shared" si="21"/>
        <v>41901.208333333336</v>
      </c>
      <c r="P669" s="5">
        <f>_xlfn.DAYS(Table2[[#This Row],[Date Ended Conversion]],Table2[[#This Row],[Date Created Conversion]])+1</f>
        <v>10</v>
      </c>
      <c r="Q669" t="b">
        <v>0</v>
      </c>
      <c r="R669" t="b">
        <v>0</v>
      </c>
      <c r="S669" t="s">
        <v>1029</v>
      </c>
      <c r="T669" t="str">
        <f>_xlfn.TEXTBEFORE(Table2[[#This Row],[category &amp; sub-category]],"/")</f>
        <v>journalism</v>
      </c>
      <c r="U669" t="str">
        <f>_xlfn.TEXTAFTER(Table2[[#This Row],[category &amp; sub-category]],"/")</f>
        <v>audio</v>
      </c>
    </row>
    <row r="670" spans="1:21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5">
        <f>100*Table2[[#This Row],[pledged]]/Table2[[#This Row],[goal]]</f>
        <v>20.33818181818182</v>
      </c>
      <c r="G670" t="s">
        <v>14</v>
      </c>
      <c r="H670">
        <v>76</v>
      </c>
      <c r="I670" s="4">
        <f>IF(Table2[[#This Row],[pledged]]&gt;0,Table2[[#This Row],[pledged]]/Table2[[#This Row],[backers_count]],0)</f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8">
        <f t="shared" si="20"/>
        <v>41122.208333333336</v>
      </c>
      <c r="O670" s="8">
        <f t="shared" si="21"/>
        <v>41134.208333333336</v>
      </c>
      <c r="P670" s="5">
        <f>_xlfn.DAYS(Table2[[#This Row],[Date Ended Conversion]],Table2[[#This Row],[Date Created Conversion]])+1</f>
        <v>13</v>
      </c>
      <c r="Q670" t="b">
        <v>0</v>
      </c>
      <c r="R670" t="b">
        <v>0</v>
      </c>
      <c r="S670" t="s">
        <v>33</v>
      </c>
      <c r="T670" t="str">
        <f>_xlfn.TEXTBEFORE(Table2[[#This Row],[category &amp; sub-category]],"/")</f>
        <v>theater</v>
      </c>
      <c r="U670" t="str">
        <f>_xlfn.TEXTAFTER(Table2[[#This Row],[category &amp; sub-category]],"/")</f>
        <v>plays</v>
      </c>
    </row>
    <row r="671" spans="1:21" ht="17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5">
        <f>100*Table2[[#This Row],[pledged]]/Table2[[#This Row],[goal]]</f>
        <v>358.64754098360658</v>
      </c>
      <c r="G671" t="s">
        <v>20</v>
      </c>
      <c r="H671">
        <v>1621</v>
      </c>
      <c r="I671" s="4">
        <f>IF(Table2[[#This Row],[pledged]]&gt;0,Table2[[#This Row],[pledged]]/Table2[[#This Row],[backers_count]],0)</f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8">
        <f t="shared" si="20"/>
        <v>42912.208333333328</v>
      </c>
      <c r="O671" s="8">
        <f t="shared" si="21"/>
        <v>42921.208333333328</v>
      </c>
      <c r="P671" s="5">
        <f>_xlfn.DAYS(Table2[[#This Row],[Date Ended Conversion]],Table2[[#This Row],[Date Created Conversion]])+1</f>
        <v>10</v>
      </c>
      <c r="Q671" t="b">
        <v>0</v>
      </c>
      <c r="R671" t="b">
        <v>0</v>
      </c>
      <c r="S671" t="s">
        <v>33</v>
      </c>
      <c r="T671" t="str">
        <f>_xlfn.TEXTBEFORE(Table2[[#This Row],[category &amp; sub-category]],"/")</f>
        <v>theater</v>
      </c>
      <c r="U671" t="str">
        <f>_xlfn.TEXTAFTER(Table2[[#This Row],[category &amp; sub-category]],"/")</f>
        <v>plays</v>
      </c>
    </row>
    <row r="672" spans="1:21" ht="34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5">
        <f>100*Table2[[#This Row],[pledged]]/Table2[[#This Row],[goal]]</f>
        <v>468.85802469135803</v>
      </c>
      <c r="G672" t="s">
        <v>20</v>
      </c>
      <c r="H672">
        <v>1101</v>
      </c>
      <c r="I672" s="4">
        <f>IF(Table2[[#This Row],[pledged]]&gt;0,Table2[[#This Row],[pledged]]/Table2[[#This Row],[backers_count]],0)</f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8">
        <f t="shared" si="20"/>
        <v>42425.25</v>
      </c>
      <c r="O672" s="8">
        <f t="shared" si="21"/>
        <v>42437.25</v>
      </c>
      <c r="P672" s="5">
        <f>_xlfn.DAYS(Table2[[#This Row],[Date Ended Conversion]],Table2[[#This Row],[Date Created Conversion]])+1</f>
        <v>13</v>
      </c>
      <c r="Q672" t="b">
        <v>0</v>
      </c>
      <c r="R672" t="b">
        <v>0</v>
      </c>
      <c r="S672" t="s">
        <v>60</v>
      </c>
      <c r="T672" t="str">
        <f>_xlfn.TEXTBEFORE(Table2[[#This Row],[category &amp; sub-category]],"/")</f>
        <v>music</v>
      </c>
      <c r="U672" t="str">
        <f>_xlfn.TEXTAFTER(Table2[[#This Row],[category &amp; sub-category]],"/")</f>
        <v>indie rock</v>
      </c>
    </row>
    <row r="673" spans="1:21" ht="34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5">
        <f>100*Table2[[#This Row],[pledged]]/Table2[[#This Row],[goal]]</f>
        <v>122.0563524590164</v>
      </c>
      <c r="G673" t="s">
        <v>20</v>
      </c>
      <c r="H673">
        <v>1073</v>
      </c>
      <c r="I673" s="4">
        <f>IF(Table2[[#This Row],[pledged]]&gt;0,Table2[[#This Row],[pledged]]/Table2[[#This Row],[backers_count]],0)</f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8">
        <f t="shared" si="20"/>
        <v>40390.208333333336</v>
      </c>
      <c r="O673" s="8">
        <f t="shared" si="21"/>
        <v>40394.208333333336</v>
      </c>
      <c r="P673" s="5">
        <f>_xlfn.DAYS(Table2[[#This Row],[Date Ended Conversion]],Table2[[#This Row],[Date Created Conversion]])+1</f>
        <v>5</v>
      </c>
      <c r="Q673" t="b">
        <v>0</v>
      </c>
      <c r="R673" t="b">
        <v>1</v>
      </c>
      <c r="S673" t="s">
        <v>33</v>
      </c>
      <c r="T673" t="str">
        <f>_xlfn.TEXTBEFORE(Table2[[#This Row],[category &amp; sub-category]],"/")</f>
        <v>theater</v>
      </c>
      <c r="U673" t="str">
        <f>_xlfn.TEXTAFTER(Table2[[#This Row],[category &amp; sub-category]],"/")</f>
        <v>plays</v>
      </c>
    </row>
    <row r="674" spans="1:21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5">
        <f>100*Table2[[#This Row],[pledged]]/Table2[[#This Row],[goal]]</f>
        <v>55.931783729156137</v>
      </c>
      <c r="G674" t="s">
        <v>14</v>
      </c>
      <c r="H674">
        <v>4428</v>
      </c>
      <c r="I674" s="4">
        <f>IF(Table2[[#This Row],[pledged]]&gt;0,Table2[[#This Row],[pledged]]/Table2[[#This Row],[backers_count]],0)</f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8">
        <f t="shared" si="20"/>
        <v>43180.208333333328</v>
      </c>
      <c r="O674" s="8">
        <f t="shared" si="21"/>
        <v>43190.208333333328</v>
      </c>
      <c r="P674" s="5">
        <f>_xlfn.DAYS(Table2[[#This Row],[Date Ended Conversion]],Table2[[#This Row],[Date Created Conversion]])+1</f>
        <v>11</v>
      </c>
      <c r="Q674" t="b">
        <v>0</v>
      </c>
      <c r="R674" t="b">
        <v>0</v>
      </c>
      <c r="S674" t="s">
        <v>33</v>
      </c>
      <c r="T674" t="str">
        <f>_xlfn.TEXTBEFORE(Table2[[#This Row],[category &amp; sub-category]],"/")</f>
        <v>theater</v>
      </c>
      <c r="U674" t="str">
        <f>_xlfn.TEXTAFTER(Table2[[#This Row],[category &amp; sub-category]],"/")</f>
        <v>plays</v>
      </c>
    </row>
    <row r="675" spans="1:21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5">
        <f>100*Table2[[#This Row],[pledged]]/Table2[[#This Row],[goal]]</f>
        <v>43.660714285714285</v>
      </c>
      <c r="G675" t="s">
        <v>14</v>
      </c>
      <c r="H675">
        <v>58</v>
      </c>
      <c r="I675" s="4">
        <f>IF(Table2[[#This Row],[pledged]]&gt;0,Table2[[#This Row],[pledged]]/Table2[[#This Row],[backers_count]],0)</f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8">
        <f t="shared" si="20"/>
        <v>42475.208333333328</v>
      </c>
      <c r="O675" s="8">
        <f t="shared" si="21"/>
        <v>42496.208333333328</v>
      </c>
      <c r="P675" s="5">
        <f>_xlfn.DAYS(Table2[[#This Row],[Date Ended Conversion]],Table2[[#This Row],[Date Created Conversion]])+1</f>
        <v>22</v>
      </c>
      <c r="Q675" t="b">
        <v>0</v>
      </c>
      <c r="R675" t="b">
        <v>0</v>
      </c>
      <c r="S675" t="s">
        <v>60</v>
      </c>
      <c r="T675" t="str">
        <f>_xlfn.TEXTBEFORE(Table2[[#This Row],[category &amp; sub-category]],"/")</f>
        <v>music</v>
      </c>
      <c r="U675" t="str">
        <f>_xlfn.TEXTAFTER(Table2[[#This Row],[category &amp; sub-category]],"/")</f>
        <v>indie rock</v>
      </c>
    </row>
    <row r="676" spans="1:21" ht="17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5">
        <f>100*Table2[[#This Row],[pledged]]/Table2[[#This Row],[goal]]</f>
        <v>33.538371411833623</v>
      </c>
      <c r="G676" t="s">
        <v>74</v>
      </c>
      <c r="H676">
        <v>1218</v>
      </c>
      <c r="I676" s="4">
        <f>IF(Table2[[#This Row],[pledged]]&gt;0,Table2[[#This Row],[pledged]]/Table2[[#This Row],[backers_count]],0)</f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8">
        <f t="shared" si="20"/>
        <v>40774.208333333336</v>
      </c>
      <c r="O676" s="8">
        <f t="shared" si="21"/>
        <v>40821.208333333336</v>
      </c>
      <c r="P676" s="5">
        <f>_xlfn.DAYS(Table2[[#This Row],[Date Ended Conversion]],Table2[[#This Row],[Date Created Conversion]])+1</f>
        <v>48</v>
      </c>
      <c r="Q676" t="b">
        <v>0</v>
      </c>
      <c r="R676" t="b">
        <v>0</v>
      </c>
      <c r="S676" t="s">
        <v>122</v>
      </c>
      <c r="T676" t="str">
        <f>_xlfn.TEXTBEFORE(Table2[[#This Row],[category &amp; sub-category]],"/")</f>
        <v>photography</v>
      </c>
      <c r="U676" t="str">
        <f>_xlfn.TEXTAFTER(Table2[[#This Row],[category &amp; sub-category]],"/")</f>
        <v>photography books</v>
      </c>
    </row>
    <row r="677" spans="1:21" ht="17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5">
        <f>100*Table2[[#This Row],[pledged]]/Table2[[#This Row],[goal]]</f>
        <v>122.97938144329896</v>
      </c>
      <c r="G677" t="s">
        <v>20</v>
      </c>
      <c r="H677">
        <v>331</v>
      </c>
      <c r="I677" s="4">
        <f>IF(Table2[[#This Row],[pledged]]&gt;0,Table2[[#This Row],[pledged]]/Table2[[#This Row],[backers_count]],0)</f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8">
        <f t="shared" si="20"/>
        <v>43719.208333333328</v>
      </c>
      <c r="O677" s="8">
        <f t="shared" si="21"/>
        <v>43726.208333333328</v>
      </c>
      <c r="P677" s="5">
        <f>_xlfn.DAYS(Table2[[#This Row],[Date Ended Conversion]],Table2[[#This Row],[Date Created Conversion]])+1</f>
        <v>8</v>
      </c>
      <c r="Q677" t="b">
        <v>0</v>
      </c>
      <c r="R677" t="b">
        <v>0</v>
      </c>
      <c r="S677" t="s">
        <v>1029</v>
      </c>
      <c r="T677" t="str">
        <f>_xlfn.TEXTBEFORE(Table2[[#This Row],[category &amp; sub-category]],"/")</f>
        <v>journalism</v>
      </c>
      <c r="U677" t="str">
        <f>_xlfn.TEXTAFTER(Table2[[#This Row],[category &amp; sub-category]],"/")</f>
        <v>audio</v>
      </c>
    </row>
    <row r="678" spans="1:21" ht="17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5">
        <f>100*Table2[[#This Row],[pledged]]/Table2[[#This Row],[goal]]</f>
        <v>189.74959871589084</v>
      </c>
      <c r="G678" t="s">
        <v>20</v>
      </c>
      <c r="H678">
        <v>1170</v>
      </c>
      <c r="I678" s="4">
        <f>IF(Table2[[#This Row],[pledged]]&gt;0,Table2[[#This Row],[pledged]]/Table2[[#This Row],[backers_count]],0)</f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8">
        <f t="shared" si="20"/>
        <v>41178.208333333336</v>
      </c>
      <c r="O678" s="8">
        <f t="shared" si="21"/>
        <v>41187.208333333336</v>
      </c>
      <c r="P678" s="5">
        <f>_xlfn.DAYS(Table2[[#This Row],[Date Ended Conversion]],Table2[[#This Row],[Date Created Conversion]])+1</f>
        <v>10</v>
      </c>
      <c r="Q678" t="b">
        <v>0</v>
      </c>
      <c r="R678" t="b">
        <v>0</v>
      </c>
      <c r="S678" t="s">
        <v>122</v>
      </c>
      <c r="T678" t="str">
        <f>_xlfn.TEXTBEFORE(Table2[[#This Row],[category &amp; sub-category]],"/")</f>
        <v>photography</v>
      </c>
      <c r="U678" t="str">
        <f>_xlfn.TEXTAFTER(Table2[[#This Row],[category &amp; sub-category]],"/")</f>
        <v>photography books</v>
      </c>
    </row>
    <row r="679" spans="1:21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5">
        <f>100*Table2[[#This Row],[pledged]]/Table2[[#This Row],[goal]]</f>
        <v>83.622641509433961</v>
      </c>
      <c r="G679" t="s">
        <v>14</v>
      </c>
      <c r="H679">
        <v>111</v>
      </c>
      <c r="I679" s="4">
        <f>IF(Table2[[#This Row],[pledged]]&gt;0,Table2[[#This Row],[pledged]]/Table2[[#This Row],[backers_count]],0)</f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8">
        <f t="shared" si="20"/>
        <v>42561.208333333328</v>
      </c>
      <c r="O679" s="8">
        <f t="shared" si="21"/>
        <v>42611.208333333328</v>
      </c>
      <c r="P679" s="5">
        <f>_xlfn.DAYS(Table2[[#This Row],[Date Ended Conversion]],Table2[[#This Row],[Date Created Conversion]])+1</f>
        <v>51</v>
      </c>
      <c r="Q679" t="b">
        <v>0</v>
      </c>
      <c r="R679" t="b">
        <v>0</v>
      </c>
      <c r="S679" t="s">
        <v>119</v>
      </c>
      <c r="T679" t="str">
        <f>_xlfn.TEXTBEFORE(Table2[[#This Row],[category &amp; sub-category]],"/")</f>
        <v>publishing</v>
      </c>
      <c r="U679" t="str">
        <f>_xlfn.TEXTAFTER(Table2[[#This Row],[category &amp; sub-category]],"/")</f>
        <v>fiction</v>
      </c>
    </row>
    <row r="680" spans="1:21" ht="17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5">
        <f>100*Table2[[#This Row],[pledged]]/Table2[[#This Row],[goal]]</f>
        <v>17.968844221105527</v>
      </c>
      <c r="G680" t="s">
        <v>74</v>
      </c>
      <c r="H680">
        <v>215</v>
      </c>
      <c r="I680" s="4">
        <f>IF(Table2[[#This Row],[pledged]]&gt;0,Table2[[#This Row],[pledged]]/Table2[[#This Row],[backers_count]],0)</f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8">
        <f t="shared" si="20"/>
        <v>43484.25</v>
      </c>
      <c r="O680" s="8">
        <f t="shared" si="21"/>
        <v>43486.25</v>
      </c>
      <c r="P680" s="5">
        <f>_xlfn.DAYS(Table2[[#This Row],[Date Ended Conversion]],Table2[[#This Row],[Date Created Conversion]])+1</f>
        <v>3</v>
      </c>
      <c r="Q680" t="b">
        <v>0</v>
      </c>
      <c r="R680" t="b">
        <v>0</v>
      </c>
      <c r="S680" t="s">
        <v>53</v>
      </c>
      <c r="T680" t="str">
        <f>_xlfn.TEXTBEFORE(Table2[[#This Row],[category &amp; sub-category]],"/")</f>
        <v>film &amp; video</v>
      </c>
      <c r="U680" t="str">
        <f>_xlfn.TEXTAFTER(Table2[[#This Row],[category &amp; sub-category]],"/")</f>
        <v>drama</v>
      </c>
    </row>
    <row r="681" spans="1:21" ht="17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5">
        <f>100*Table2[[#This Row],[pledged]]/Table2[[#This Row],[goal]]</f>
        <v>1036.5</v>
      </c>
      <c r="G681" t="s">
        <v>20</v>
      </c>
      <c r="H681">
        <v>363</v>
      </c>
      <c r="I681" s="4">
        <f>IF(Table2[[#This Row],[pledged]]&gt;0,Table2[[#This Row],[pledged]]/Table2[[#This Row],[backers_count]],0)</f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8">
        <f t="shared" si="20"/>
        <v>43756.208333333328</v>
      </c>
      <c r="O681" s="8">
        <f t="shared" si="21"/>
        <v>43761.208333333328</v>
      </c>
      <c r="P681" s="5">
        <f>_xlfn.DAYS(Table2[[#This Row],[Date Ended Conversion]],Table2[[#This Row],[Date Created Conversion]])+1</f>
        <v>6</v>
      </c>
      <c r="Q681" t="b">
        <v>0</v>
      </c>
      <c r="R681" t="b">
        <v>1</v>
      </c>
      <c r="S681" t="s">
        <v>17</v>
      </c>
      <c r="T681" t="str">
        <f>_xlfn.TEXTBEFORE(Table2[[#This Row],[category &amp; sub-category]],"/")</f>
        <v>food</v>
      </c>
      <c r="U681" t="str">
        <f>_xlfn.TEXTAFTER(Table2[[#This Row],[category &amp; sub-category]],"/")</f>
        <v>food trucks</v>
      </c>
    </row>
    <row r="682" spans="1:21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5">
        <f>100*Table2[[#This Row],[pledged]]/Table2[[#This Row],[goal]]</f>
        <v>97.405219780219781</v>
      </c>
      <c r="G682" t="s">
        <v>14</v>
      </c>
      <c r="H682">
        <v>2955</v>
      </c>
      <c r="I682" s="4">
        <f>IF(Table2[[#This Row],[pledged]]&gt;0,Table2[[#This Row],[pledged]]/Table2[[#This Row],[backers_count]],0)</f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8">
        <f t="shared" si="20"/>
        <v>43813.25</v>
      </c>
      <c r="O682" s="8">
        <f t="shared" si="21"/>
        <v>43815.25</v>
      </c>
      <c r="P682" s="5">
        <f>_xlfn.DAYS(Table2[[#This Row],[Date Ended Conversion]],Table2[[#This Row],[Date Created Conversion]])+1</f>
        <v>3</v>
      </c>
      <c r="Q682" t="b">
        <v>0</v>
      </c>
      <c r="R682" t="b">
        <v>1</v>
      </c>
      <c r="S682" t="s">
        <v>292</v>
      </c>
      <c r="T682" t="str">
        <f>_xlfn.TEXTBEFORE(Table2[[#This Row],[category &amp; sub-category]],"/")</f>
        <v>games</v>
      </c>
      <c r="U682" t="str">
        <f>_xlfn.TEXTAFTER(Table2[[#This Row],[category &amp; sub-category]],"/")</f>
        <v>mobile games</v>
      </c>
    </row>
    <row r="683" spans="1:21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5">
        <f>100*Table2[[#This Row],[pledged]]/Table2[[#This Row],[goal]]</f>
        <v>86.386203150461711</v>
      </c>
      <c r="G683" t="s">
        <v>14</v>
      </c>
      <c r="H683">
        <v>1657</v>
      </c>
      <c r="I683" s="4">
        <f>IF(Table2[[#This Row],[pledged]]&gt;0,Table2[[#This Row],[pledged]]/Table2[[#This Row],[backers_count]],0)</f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8">
        <f t="shared" si="20"/>
        <v>40898.25</v>
      </c>
      <c r="O683" s="8">
        <f t="shared" si="21"/>
        <v>40904.25</v>
      </c>
      <c r="P683" s="5">
        <f>_xlfn.DAYS(Table2[[#This Row],[Date Ended Conversion]],Table2[[#This Row],[Date Created Conversion]])+1</f>
        <v>7</v>
      </c>
      <c r="Q683" t="b">
        <v>0</v>
      </c>
      <c r="R683" t="b">
        <v>0</v>
      </c>
      <c r="S683" t="s">
        <v>33</v>
      </c>
      <c r="T683" t="str">
        <f>_xlfn.TEXTBEFORE(Table2[[#This Row],[category &amp; sub-category]],"/")</f>
        <v>theater</v>
      </c>
      <c r="U683" t="str">
        <f>_xlfn.TEXTAFTER(Table2[[#This Row],[category &amp; sub-category]],"/")</f>
        <v>plays</v>
      </c>
    </row>
    <row r="684" spans="1:21" ht="17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5">
        <f>100*Table2[[#This Row],[pledged]]/Table2[[#This Row],[goal]]</f>
        <v>150.16666666666666</v>
      </c>
      <c r="G684" t="s">
        <v>20</v>
      </c>
      <c r="H684">
        <v>103</v>
      </c>
      <c r="I684" s="4">
        <f>IF(Table2[[#This Row],[pledged]]&gt;0,Table2[[#This Row],[pledged]]/Table2[[#This Row],[backers_count]],0)</f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8">
        <f t="shared" si="20"/>
        <v>41619.25</v>
      </c>
      <c r="O684" s="8">
        <f t="shared" si="21"/>
        <v>41628.25</v>
      </c>
      <c r="P684" s="5">
        <f>_xlfn.DAYS(Table2[[#This Row],[Date Ended Conversion]],Table2[[#This Row],[Date Created Conversion]])+1</f>
        <v>10</v>
      </c>
      <c r="Q684" t="b">
        <v>0</v>
      </c>
      <c r="R684" t="b">
        <v>0</v>
      </c>
      <c r="S684" t="s">
        <v>33</v>
      </c>
      <c r="T684" t="str">
        <f>_xlfn.TEXTBEFORE(Table2[[#This Row],[category &amp; sub-category]],"/")</f>
        <v>theater</v>
      </c>
      <c r="U684" t="str">
        <f>_xlfn.TEXTAFTER(Table2[[#This Row],[category &amp; sub-category]],"/")</f>
        <v>plays</v>
      </c>
    </row>
    <row r="685" spans="1:21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5">
        <f>100*Table2[[#This Row],[pledged]]/Table2[[#This Row],[goal]]</f>
        <v>358.43478260869563</v>
      </c>
      <c r="G685" t="s">
        <v>20</v>
      </c>
      <c r="H685">
        <v>147</v>
      </c>
      <c r="I685" s="4">
        <f>IF(Table2[[#This Row],[pledged]]&gt;0,Table2[[#This Row],[pledged]]/Table2[[#This Row],[backers_count]],0)</f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8">
        <f t="shared" si="20"/>
        <v>43359.208333333328</v>
      </c>
      <c r="O685" s="8">
        <f t="shared" si="21"/>
        <v>43361.208333333328</v>
      </c>
      <c r="P685" s="5">
        <f>_xlfn.DAYS(Table2[[#This Row],[Date Ended Conversion]],Table2[[#This Row],[Date Created Conversion]])+1</f>
        <v>3</v>
      </c>
      <c r="Q685" t="b">
        <v>0</v>
      </c>
      <c r="R685" t="b">
        <v>0</v>
      </c>
      <c r="S685" t="s">
        <v>33</v>
      </c>
      <c r="T685" t="str">
        <f>_xlfn.TEXTBEFORE(Table2[[#This Row],[category &amp; sub-category]],"/")</f>
        <v>theater</v>
      </c>
      <c r="U685" t="str">
        <f>_xlfn.TEXTAFTER(Table2[[#This Row],[category &amp; sub-category]],"/")</f>
        <v>plays</v>
      </c>
    </row>
    <row r="686" spans="1:21" ht="17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5">
        <f>100*Table2[[#This Row],[pledged]]/Table2[[#This Row],[goal]]</f>
        <v>542.85714285714289</v>
      </c>
      <c r="G686" t="s">
        <v>20</v>
      </c>
      <c r="H686">
        <v>110</v>
      </c>
      <c r="I686" s="4">
        <f>IF(Table2[[#This Row],[pledged]]&gt;0,Table2[[#This Row],[pledged]]/Table2[[#This Row],[backers_count]],0)</f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8">
        <f t="shared" si="20"/>
        <v>40358.208333333336</v>
      </c>
      <c r="O686" s="8">
        <f t="shared" si="21"/>
        <v>40378.208333333336</v>
      </c>
      <c r="P686" s="5">
        <f>_xlfn.DAYS(Table2[[#This Row],[Date Ended Conversion]],Table2[[#This Row],[Date Created Conversion]])+1</f>
        <v>21</v>
      </c>
      <c r="Q686" t="b">
        <v>0</v>
      </c>
      <c r="R686" t="b">
        <v>0</v>
      </c>
      <c r="S686" t="s">
        <v>68</v>
      </c>
      <c r="T686" t="str">
        <f>_xlfn.TEXTBEFORE(Table2[[#This Row],[category &amp; sub-category]],"/")</f>
        <v>publishing</v>
      </c>
      <c r="U686" t="str">
        <f>_xlfn.TEXTAFTER(Table2[[#This Row],[category &amp; sub-category]],"/")</f>
        <v>nonfiction</v>
      </c>
    </row>
    <row r="687" spans="1:21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5">
        <f>100*Table2[[#This Row],[pledged]]/Table2[[#This Row],[goal]]</f>
        <v>67.500714285714281</v>
      </c>
      <c r="G687" t="s">
        <v>14</v>
      </c>
      <c r="H687">
        <v>926</v>
      </c>
      <c r="I687" s="4">
        <f>IF(Table2[[#This Row],[pledged]]&gt;0,Table2[[#This Row],[pledged]]/Table2[[#This Row],[backers_count]],0)</f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8">
        <f t="shared" si="20"/>
        <v>42239.208333333328</v>
      </c>
      <c r="O687" s="8">
        <f t="shared" si="21"/>
        <v>42263.208333333328</v>
      </c>
      <c r="P687" s="5">
        <f>_xlfn.DAYS(Table2[[#This Row],[Date Ended Conversion]],Table2[[#This Row],[Date Created Conversion]])+1</f>
        <v>25</v>
      </c>
      <c r="Q687" t="b">
        <v>0</v>
      </c>
      <c r="R687" t="b">
        <v>0</v>
      </c>
      <c r="S687" t="s">
        <v>33</v>
      </c>
      <c r="T687" t="str">
        <f>_xlfn.TEXTBEFORE(Table2[[#This Row],[category &amp; sub-category]],"/")</f>
        <v>theater</v>
      </c>
      <c r="U687" t="str">
        <f>_xlfn.TEXTAFTER(Table2[[#This Row],[category &amp; sub-category]],"/")</f>
        <v>plays</v>
      </c>
    </row>
    <row r="688" spans="1:21" ht="17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5">
        <f>100*Table2[[#This Row],[pledged]]/Table2[[#This Row],[goal]]</f>
        <v>191.74666666666667</v>
      </c>
      <c r="G688" t="s">
        <v>20</v>
      </c>
      <c r="H688">
        <v>134</v>
      </c>
      <c r="I688" s="4">
        <f>IF(Table2[[#This Row],[pledged]]&gt;0,Table2[[#This Row],[pledged]]/Table2[[#This Row],[backers_count]],0)</f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8">
        <f t="shared" si="20"/>
        <v>43186.208333333328</v>
      </c>
      <c r="O688" s="8">
        <f t="shared" si="21"/>
        <v>43197.208333333328</v>
      </c>
      <c r="P688" s="5">
        <f>_xlfn.DAYS(Table2[[#This Row],[Date Ended Conversion]],Table2[[#This Row],[Date Created Conversion]])+1</f>
        <v>12</v>
      </c>
      <c r="Q688" t="b">
        <v>0</v>
      </c>
      <c r="R688" t="b">
        <v>0</v>
      </c>
      <c r="S688" t="s">
        <v>65</v>
      </c>
      <c r="T688" t="str">
        <f>_xlfn.TEXTBEFORE(Table2[[#This Row],[category &amp; sub-category]],"/")</f>
        <v>technology</v>
      </c>
      <c r="U688" t="str">
        <f>_xlfn.TEXTAFTER(Table2[[#This Row],[category &amp; sub-category]],"/")</f>
        <v>wearables</v>
      </c>
    </row>
    <row r="689" spans="1:21" ht="17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5">
        <f>100*Table2[[#This Row],[pledged]]/Table2[[#This Row],[goal]]</f>
        <v>932</v>
      </c>
      <c r="G689" t="s">
        <v>20</v>
      </c>
      <c r="H689">
        <v>269</v>
      </c>
      <c r="I689" s="4">
        <f>IF(Table2[[#This Row],[pledged]]&gt;0,Table2[[#This Row],[pledged]]/Table2[[#This Row],[backers_count]],0)</f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8">
        <f t="shared" si="20"/>
        <v>42806.25</v>
      </c>
      <c r="O689" s="8">
        <f t="shared" si="21"/>
        <v>42809.208333333328</v>
      </c>
      <c r="P689" s="5">
        <f>_xlfn.DAYS(Table2[[#This Row],[Date Ended Conversion]],Table2[[#This Row],[Date Created Conversion]])+1</f>
        <v>4</v>
      </c>
      <c r="Q689" t="b">
        <v>0</v>
      </c>
      <c r="R689" t="b">
        <v>0</v>
      </c>
      <c r="S689" t="s">
        <v>33</v>
      </c>
      <c r="T689" t="str">
        <f>_xlfn.TEXTBEFORE(Table2[[#This Row],[category &amp; sub-category]],"/")</f>
        <v>theater</v>
      </c>
      <c r="U689" t="str">
        <f>_xlfn.TEXTAFTER(Table2[[#This Row],[category &amp; sub-category]],"/")</f>
        <v>plays</v>
      </c>
    </row>
    <row r="690" spans="1:21" ht="17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5">
        <f>100*Table2[[#This Row],[pledged]]/Table2[[#This Row],[goal]]</f>
        <v>429.27586206896552</v>
      </c>
      <c r="G690" t="s">
        <v>20</v>
      </c>
      <c r="H690">
        <v>175</v>
      </c>
      <c r="I690" s="4">
        <f>IF(Table2[[#This Row],[pledged]]&gt;0,Table2[[#This Row],[pledged]]/Table2[[#This Row],[backers_count]],0)</f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8">
        <f t="shared" si="20"/>
        <v>43475.25</v>
      </c>
      <c r="O690" s="8">
        <f t="shared" si="21"/>
        <v>43491.25</v>
      </c>
      <c r="P690" s="5">
        <f>_xlfn.DAYS(Table2[[#This Row],[Date Ended Conversion]],Table2[[#This Row],[Date Created Conversion]])+1</f>
        <v>17</v>
      </c>
      <c r="Q690" t="b">
        <v>0</v>
      </c>
      <c r="R690" t="b">
        <v>1</v>
      </c>
      <c r="S690" t="s">
        <v>269</v>
      </c>
      <c r="T690" t="str">
        <f>_xlfn.TEXTBEFORE(Table2[[#This Row],[category &amp; sub-category]],"/")</f>
        <v>film &amp; video</v>
      </c>
      <c r="U690" t="str">
        <f>_xlfn.TEXTAFTER(Table2[[#This Row],[category &amp; sub-category]],"/")</f>
        <v>television</v>
      </c>
    </row>
    <row r="691" spans="1:21" ht="17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5">
        <f>100*Table2[[#This Row],[pledged]]/Table2[[#This Row],[goal]]</f>
        <v>100.65753424657534</v>
      </c>
      <c r="G691" t="s">
        <v>20</v>
      </c>
      <c r="H691">
        <v>69</v>
      </c>
      <c r="I691" s="4">
        <f>IF(Table2[[#This Row],[pledged]]&gt;0,Table2[[#This Row],[pledged]]/Table2[[#This Row],[backers_count]],0)</f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8">
        <f t="shared" si="20"/>
        <v>41576.208333333336</v>
      </c>
      <c r="O691" s="8">
        <f t="shared" si="21"/>
        <v>41588.25</v>
      </c>
      <c r="P691" s="5">
        <f>_xlfn.DAYS(Table2[[#This Row],[Date Ended Conversion]],Table2[[#This Row],[Date Created Conversion]])+1</f>
        <v>13</v>
      </c>
      <c r="Q691" t="b">
        <v>0</v>
      </c>
      <c r="R691" t="b">
        <v>0</v>
      </c>
      <c r="S691" t="s">
        <v>28</v>
      </c>
      <c r="T691" t="str">
        <f>_xlfn.TEXTBEFORE(Table2[[#This Row],[category &amp; sub-category]],"/")</f>
        <v>technology</v>
      </c>
      <c r="U691" t="str">
        <f>_xlfn.TEXTAFTER(Table2[[#This Row],[category &amp; sub-category]],"/")</f>
        <v>web</v>
      </c>
    </row>
    <row r="692" spans="1:21" ht="17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5">
        <f>100*Table2[[#This Row],[pledged]]/Table2[[#This Row],[goal]]</f>
        <v>226.61111111111111</v>
      </c>
      <c r="G692" t="s">
        <v>20</v>
      </c>
      <c r="H692">
        <v>190</v>
      </c>
      <c r="I692" s="4">
        <f>IF(Table2[[#This Row],[pledged]]&gt;0,Table2[[#This Row],[pledged]]/Table2[[#This Row],[backers_count]],0)</f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8">
        <f t="shared" si="20"/>
        <v>40874.25</v>
      </c>
      <c r="O692" s="8">
        <f t="shared" si="21"/>
        <v>40880.25</v>
      </c>
      <c r="P692" s="5">
        <f>_xlfn.DAYS(Table2[[#This Row],[Date Ended Conversion]],Table2[[#This Row],[Date Created Conversion]])+1</f>
        <v>7</v>
      </c>
      <c r="Q692" t="b">
        <v>0</v>
      </c>
      <c r="R692" t="b">
        <v>1</v>
      </c>
      <c r="S692" t="s">
        <v>42</v>
      </c>
      <c r="T692" t="str">
        <f>_xlfn.TEXTBEFORE(Table2[[#This Row],[category &amp; sub-category]],"/")</f>
        <v>film &amp; video</v>
      </c>
      <c r="U692" t="str">
        <f>_xlfn.TEXTAFTER(Table2[[#This Row],[category &amp; sub-category]],"/")</f>
        <v>documentary</v>
      </c>
    </row>
    <row r="693" spans="1:21" ht="17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5">
        <f>100*Table2[[#This Row],[pledged]]/Table2[[#This Row],[goal]]</f>
        <v>142.38</v>
      </c>
      <c r="G693" t="s">
        <v>20</v>
      </c>
      <c r="H693">
        <v>237</v>
      </c>
      <c r="I693" s="4">
        <f>IF(Table2[[#This Row],[pledged]]&gt;0,Table2[[#This Row],[pledged]]/Table2[[#This Row],[backers_count]],0)</f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8">
        <f t="shared" si="20"/>
        <v>41185.208333333336</v>
      </c>
      <c r="O693" s="8">
        <f t="shared" si="21"/>
        <v>41202.208333333336</v>
      </c>
      <c r="P693" s="5">
        <f>_xlfn.DAYS(Table2[[#This Row],[Date Ended Conversion]],Table2[[#This Row],[Date Created Conversion]])+1</f>
        <v>18</v>
      </c>
      <c r="Q693" t="b">
        <v>1</v>
      </c>
      <c r="R693" t="b">
        <v>1</v>
      </c>
      <c r="S693" t="s">
        <v>42</v>
      </c>
      <c r="T693" t="str">
        <f>_xlfn.TEXTBEFORE(Table2[[#This Row],[category &amp; sub-category]],"/")</f>
        <v>film &amp; video</v>
      </c>
      <c r="U693" t="str">
        <f>_xlfn.TEXTAFTER(Table2[[#This Row],[category &amp; sub-category]],"/")</f>
        <v>documentary</v>
      </c>
    </row>
    <row r="694" spans="1:21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5">
        <f>100*Table2[[#This Row],[pledged]]/Table2[[#This Row],[goal]]</f>
        <v>90.63333333333334</v>
      </c>
      <c r="G694" t="s">
        <v>14</v>
      </c>
      <c r="H694">
        <v>77</v>
      </c>
      <c r="I694" s="4">
        <f>IF(Table2[[#This Row],[pledged]]&gt;0,Table2[[#This Row],[pledged]]/Table2[[#This Row],[backers_count]],0)</f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8">
        <f t="shared" si="20"/>
        <v>43655.208333333328</v>
      </c>
      <c r="O694" s="8">
        <f t="shared" si="21"/>
        <v>43673.208333333328</v>
      </c>
      <c r="P694" s="5">
        <f>_xlfn.DAYS(Table2[[#This Row],[Date Ended Conversion]],Table2[[#This Row],[Date Created Conversion]])+1</f>
        <v>19</v>
      </c>
      <c r="Q694" t="b">
        <v>0</v>
      </c>
      <c r="R694" t="b">
        <v>0</v>
      </c>
      <c r="S694" t="s">
        <v>23</v>
      </c>
      <c r="T694" t="str">
        <f>_xlfn.TEXTBEFORE(Table2[[#This Row],[category &amp; sub-category]],"/")</f>
        <v>music</v>
      </c>
      <c r="U694" t="str">
        <f>_xlfn.TEXTAFTER(Table2[[#This Row],[category &amp; sub-category]],"/")</f>
        <v>rock</v>
      </c>
    </row>
    <row r="695" spans="1:21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5">
        <f>100*Table2[[#This Row],[pledged]]/Table2[[#This Row],[goal]]</f>
        <v>63.966740576496676</v>
      </c>
      <c r="G695" t="s">
        <v>14</v>
      </c>
      <c r="H695">
        <v>1748</v>
      </c>
      <c r="I695" s="4">
        <f>IF(Table2[[#This Row],[pledged]]&gt;0,Table2[[#This Row],[pledged]]/Table2[[#This Row],[backers_count]],0)</f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8">
        <f t="shared" si="20"/>
        <v>43025.208333333328</v>
      </c>
      <c r="O695" s="8">
        <f t="shared" si="21"/>
        <v>43042.208333333328</v>
      </c>
      <c r="P695" s="5">
        <f>_xlfn.DAYS(Table2[[#This Row],[Date Ended Conversion]],Table2[[#This Row],[Date Created Conversion]])+1</f>
        <v>18</v>
      </c>
      <c r="Q695" t="b">
        <v>0</v>
      </c>
      <c r="R695" t="b">
        <v>0</v>
      </c>
      <c r="S695" t="s">
        <v>33</v>
      </c>
      <c r="T695" t="str">
        <f>_xlfn.TEXTBEFORE(Table2[[#This Row],[category &amp; sub-category]],"/")</f>
        <v>theater</v>
      </c>
      <c r="U695" t="str">
        <f>_xlfn.TEXTAFTER(Table2[[#This Row],[category &amp; sub-category]],"/")</f>
        <v>plays</v>
      </c>
    </row>
    <row r="696" spans="1:21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5">
        <f>100*Table2[[#This Row],[pledged]]/Table2[[#This Row],[goal]]</f>
        <v>84.131868131868131</v>
      </c>
      <c r="G696" t="s">
        <v>14</v>
      </c>
      <c r="H696">
        <v>79</v>
      </c>
      <c r="I696" s="4">
        <f>IF(Table2[[#This Row],[pledged]]&gt;0,Table2[[#This Row],[pledged]]/Table2[[#This Row],[backers_count]],0)</f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8">
        <f t="shared" si="20"/>
        <v>43066.25</v>
      </c>
      <c r="O696" s="8">
        <f t="shared" si="21"/>
        <v>43103.25</v>
      </c>
      <c r="P696" s="5">
        <f>_xlfn.DAYS(Table2[[#This Row],[Date Ended Conversion]],Table2[[#This Row],[Date Created Conversion]])+1</f>
        <v>38</v>
      </c>
      <c r="Q696" t="b">
        <v>0</v>
      </c>
      <c r="R696" t="b">
        <v>0</v>
      </c>
      <c r="S696" t="s">
        <v>33</v>
      </c>
      <c r="T696" t="str">
        <f>_xlfn.TEXTBEFORE(Table2[[#This Row],[category &amp; sub-category]],"/")</f>
        <v>theater</v>
      </c>
      <c r="U696" t="str">
        <f>_xlfn.TEXTAFTER(Table2[[#This Row],[category &amp; sub-category]],"/")</f>
        <v>plays</v>
      </c>
    </row>
    <row r="697" spans="1:21" ht="17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5">
        <f>100*Table2[[#This Row],[pledged]]/Table2[[#This Row],[goal]]</f>
        <v>133.93478260869566</v>
      </c>
      <c r="G697" t="s">
        <v>20</v>
      </c>
      <c r="H697">
        <v>196</v>
      </c>
      <c r="I697" s="4">
        <f>IF(Table2[[#This Row],[pledged]]&gt;0,Table2[[#This Row],[pledged]]/Table2[[#This Row],[backers_count]],0)</f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8">
        <f t="shared" si="20"/>
        <v>42322.25</v>
      </c>
      <c r="O697" s="8">
        <f t="shared" si="21"/>
        <v>42338.25</v>
      </c>
      <c r="P697" s="5">
        <f>_xlfn.DAYS(Table2[[#This Row],[Date Ended Conversion]],Table2[[#This Row],[Date Created Conversion]])+1</f>
        <v>17</v>
      </c>
      <c r="Q697" t="b">
        <v>1</v>
      </c>
      <c r="R697" t="b">
        <v>0</v>
      </c>
      <c r="S697" t="s">
        <v>23</v>
      </c>
      <c r="T697" t="str">
        <f>_xlfn.TEXTBEFORE(Table2[[#This Row],[category &amp; sub-category]],"/")</f>
        <v>music</v>
      </c>
      <c r="U697" t="str">
        <f>_xlfn.TEXTAFTER(Table2[[#This Row],[category &amp; sub-category]],"/")</f>
        <v>rock</v>
      </c>
    </row>
    <row r="698" spans="1:21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5">
        <f>100*Table2[[#This Row],[pledged]]/Table2[[#This Row],[goal]]</f>
        <v>59.042047531992687</v>
      </c>
      <c r="G698" t="s">
        <v>14</v>
      </c>
      <c r="H698">
        <v>889</v>
      </c>
      <c r="I698" s="4">
        <f>IF(Table2[[#This Row],[pledged]]&gt;0,Table2[[#This Row],[pledged]]/Table2[[#This Row],[backers_count]],0)</f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8">
        <f t="shared" si="20"/>
        <v>42114.208333333328</v>
      </c>
      <c r="O698" s="8">
        <f t="shared" si="21"/>
        <v>42115.208333333328</v>
      </c>
      <c r="P698" s="5">
        <f>_xlfn.DAYS(Table2[[#This Row],[Date Ended Conversion]],Table2[[#This Row],[Date Created Conversion]])+1</f>
        <v>2</v>
      </c>
      <c r="Q698" t="b">
        <v>0</v>
      </c>
      <c r="R698" t="b">
        <v>1</v>
      </c>
      <c r="S698" t="s">
        <v>33</v>
      </c>
      <c r="T698" t="str">
        <f>_xlfn.TEXTBEFORE(Table2[[#This Row],[category &amp; sub-category]],"/")</f>
        <v>theater</v>
      </c>
      <c r="U698" t="str">
        <f>_xlfn.TEXTAFTER(Table2[[#This Row],[category &amp; sub-category]],"/")</f>
        <v>plays</v>
      </c>
    </row>
    <row r="699" spans="1:21" ht="34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5">
        <f>100*Table2[[#This Row],[pledged]]/Table2[[#This Row],[goal]]</f>
        <v>152.80062063615205</v>
      </c>
      <c r="G699" t="s">
        <v>20</v>
      </c>
      <c r="H699">
        <v>7295</v>
      </c>
      <c r="I699" s="4">
        <f>IF(Table2[[#This Row],[pledged]]&gt;0,Table2[[#This Row],[pledged]]/Table2[[#This Row],[backers_count]],0)</f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8">
        <f t="shared" si="20"/>
        <v>43190.208333333328</v>
      </c>
      <c r="O699" s="8">
        <f t="shared" si="21"/>
        <v>43192.208333333328</v>
      </c>
      <c r="P699" s="5">
        <f>_xlfn.DAYS(Table2[[#This Row],[Date Ended Conversion]],Table2[[#This Row],[Date Created Conversion]])+1</f>
        <v>3</v>
      </c>
      <c r="Q699" t="b">
        <v>0</v>
      </c>
      <c r="R699" t="b">
        <v>0</v>
      </c>
      <c r="S699" t="s">
        <v>50</v>
      </c>
      <c r="T699" t="str">
        <f>_xlfn.TEXTBEFORE(Table2[[#This Row],[category &amp; sub-category]],"/")</f>
        <v>music</v>
      </c>
      <c r="U699" t="str">
        <f>_xlfn.TEXTAFTER(Table2[[#This Row],[category &amp; sub-category]],"/")</f>
        <v>electric music</v>
      </c>
    </row>
    <row r="700" spans="1:21" ht="17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5">
        <f>100*Table2[[#This Row],[pledged]]/Table2[[#This Row],[goal]]</f>
        <v>446.69121140142516</v>
      </c>
      <c r="G700" t="s">
        <v>20</v>
      </c>
      <c r="H700">
        <v>2893</v>
      </c>
      <c r="I700" s="4">
        <f>IF(Table2[[#This Row],[pledged]]&gt;0,Table2[[#This Row],[pledged]]/Table2[[#This Row],[backers_count]],0)</f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8">
        <f t="shared" si="20"/>
        <v>40871.25</v>
      </c>
      <c r="O700" s="8">
        <f t="shared" si="21"/>
        <v>40885.25</v>
      </c>
      <c r="P700" s="5">
        <f>_xlfn.DAYS(Table2[[#This Row],[Date Ended Conversion]],Table2[[#This Row],[Date Created Conversion]])+1</f>
        <v>15</v>
      </c>
      <c r="Q700" t="b">
        <v>0</v>
      </c>
      <c r="R700" t="b">
        <v>0</v>
      </c>
      <c r="S700" t="s">
        <v>65</v>
      </c>
      <c r="T700" t="str">
        <f>_xlfn.TEXTBEFORE(Table2[[#This Row],[category &amp; sub-category]],"/")</f>
        <v>technology</v>
      </c>
      <c r="U700" t="str">
        <f>_xlfn.TEXTAFTER(Table2[[#This Row],[category &amp; sub-category]],"/")</f>
        <v>wearables</v>
      </c>
    </row>
    <row r="701" spans="1:21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5">
        <f>100*Table2[[#This Row],[pledged]]/Table2[[#This Row],[goal]]</f>
        <v>84.391891891891888</v>
      </c>
      <c r="G701" t="s">
        <v>14</v>
      </c>
      <c r="H701">
        <v>56</v>
      </c>
      <c r="I701" s="4">
        <f>IF(Table2[[#This Row],[pledged]]&gt;0,Table2[[#This Row],[pledged]]/Table2[[#This Row],[backers_count]],0)</f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8">
        <f t="shared" si="20"/>
        <v>43641.208333333328</v>
      </c>
      <c r="O701" s="8">
        <f t="shared" si="21"/>
        <v>43642.208333333328</v>
      </c>
      <c r="P701" s="5">
        <f>_xlfn.DAYS(Table2[[#This Row],[Date Ended Conversion]],Table2[[#This Row],[Date Created Conversion]])+1</f>
        <v>2</v>
      </c>
      <c r="Q701" t="b">
        <v>0</v>
      </c>
      <c r="R701" t="b">
        <v>0</v>
      </c>
      <c r="S701" t="s">
        <v>53</v>
      </c>
      <c r="T701" t="str">
        <f>_xlfn.TEXTBEFORE(Table2[[#This Row],[category &amp; sub-category]],"/")</f>
        <v>film &amp; video</v>
      </c>
      <c r="U701" t="str">
        <f>_xlfn.TEXTAFTER(Table2[[#This Row],[category &amp; sub-category]],"/")</f>
        <v>drama</v>
      </c>
    </row>
    <row r="702" spans="1:21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5">
        <f>100*Table2[[#This Row],[pledged]]/Table2[[#This Row],[goal]]</f>
        <v>3</v>
      </c>
      <c r="G702" t="s">
        <v>14</v>
      </c>
      <c r="H702">
        <v>1</v>
      </c>
      <c r="I702" s="4">
        <f>IF(Table2[[#This Row],[pledged]]&gt;0,Table2[[#This Row],[pledged]]/Table2[[#This Row],[backers_count]],0)</f>
        <v>3</v>
      </c>
      <c r="J702" t="s">
        <v>21</v>
      </c>
      <c r="K702" t="s">
        <v>22</v>
      </c>
      <c r="L702">
        <v>1264399200</v>
      </c>
      <c r="M702">
        <v>1265695200</v>
      </c>
      <c r="N702" s="8">
        <f t="shared" si="20"/>
        <v>40203.25</v>
      </c>
      <c r="O702" s="8">
        <f t="shared" si="21"/>
        <v>40218.25</v>
      </c>
      <c r="P702" s="5">
        <f>_xlfn.DAYS(Table2[[#This Row],[Date Ended Conversion]],Table2[[#This Row],[Date Created Conversion]])+1</f>
        <v>16</v>
      </c>
      <c r="Q702" t="b">
        <v>0</v>
      </c>
      <c r="R702" t="b">
        <v>0</v>
      </c>
      <c r="S702" t="s">
        <v>65</v>
      </c>
      <c r="T702" t="str">
        <f>_xlfn.TEXTBEFORE(Table2[[#This Row],[category &amp; sub-category]],"/")</f>
        <v>technology</v>
      </c>
      <c r="U702" t="str">
        <f>_xlfn.TEXTAFTER(Table2[[#This Row],[category &amp; sub-category]],"/")</f>
        <v>wearables</v>
      </c>
    </row>
    <row r="703" spans="1:21" ht="34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5">
        <f>100*Table2[[#This Row],[pledged]]/Table2[[#This Row],[goal]]</f>
        <v>175.02692307692308</v>
      </c>
      <c r="G703" t="s">
        <v>20</v>
      </c>
      <c r="H703">
        <v>820</v>
      </c>
      <c r="I703" s="4">
        <f>IF(Table2[[#This Row],[pledged]]&gt;0,Table2[[#This Row],[pledged]]/Table2[[#This Row],[backers_count]],0)</f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8">
        <f t="shared" si="20"/>
        <v>40629.208333333336</v>
      </c>
      <c r="O703" s="8">
        <f t="shared" si="21"/>
        <v>40636.208333333336</v>
      </c>
      <c r="P703" s="5">
        <f>_xlfn.DAYS(Table2[[#This Row],[Date Ended Conversion]],Table2[[#This Row],[Date Created Conversion]])+1</f>
        <v>8</v>
      </c>
      <c r="Q703" t="b">
        <v>1</v>
      </c>
      <c r="R703" t="b">
        <v>0</v>
      </c>
      <c r="S703" t="s">
        <v>33</v>
      </c>
      <c r="T703" t="str">
        <f>_xlfn.TEXTBEFORE(Table2[[#This Row],[category &amp; sub-category]],"/")</f>
        <v>theater</v>
      </c>
      <c r="U703" t="str">
        <f>_xlfn.TEXTAFTER(Table2[[#This Row],[category &amp; sub-category]],"/")</f>
        <v>plays</v>
      </c>
    </row>
    <row r="704" spans="1:21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5">
        <f>100*Table2[[#This Row],[pledged]]/Table2[[#This Row],[goal]]</f>
        <v>54.137931034482762</v>
      </c>
      <c r="G704" t="s">
        <v>14</v>
      </c>
      <c r="H704">
        <v>83</v>
      </c>
      <c r="I704" s="4">
        <f>IF(Table2[[#This Row],[pledged]]&gt;0,Table2[[#This Row],[pledged]]/Table2[[#This Row],[backers_count]],0)</f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8">
        <f t="shared" si="20"/>
        <v>41477.208333333336</v>
      </c>
      <c r="O704" s="8">
        <f t="shared" si="21"/>
        <v>41482.208333333336</v>
      </c>
      <c r="P704" s="5">
        <f>_xlfn.DAYS(Table2[[#This Row],[Date Ended Conversion]],Table2[[#This Row],[Date Created Conversion]])+1</f>
        <v>6</v>
      </c>
      <c r="Q704" t="b">
        <v>0</v>
      </c>
      <c r="R704" t="b">
        <v>0</v>
      </c>
      <c r="S704" t="s">
        <v>65</v>
      </c>
      <c r="T704" t="str">
        <f>_xlfn.TEXTBEFORE(Table2[[#This Row],[category &amp; sub-category]],"/")</f>
        <v>technology</v>
      </c>
      <c r="U704" t="str">
        <f>_xlfn.TEXTAFTER(Table2[[#This Row],[category &amp; sub-category]],"/")</f>
        <v>wearables</v>
      </c>
    </row>
    <row r="705" spans="1:21" ht="17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5">
        <f>100*Table2[[#This Row],[pledged]]/Table2[[#This Row],[goal]]</f>
        <v>311.87381703470032</v>
      </c>
      <c r="G705" t="s">
        <v>20</v>
      </c>
      <c r="H705">
        <v>2038</v>
      </c>
      <c r="I705" s="4">
        <f>IF(Table2[[#This Row],[pledged]]&gt;0,Table2[[#This Row],[pledged]]/Table2[[#This Row],[backers_count]],0)</f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8">
        <f t="shared" si="20"/>
        <v>41020.208333333336</v>
      </c>
      <c r="O705" s="8">
        <f t="shared" si="21"/>
        <v>41037.208333333336</v>
      </c>
      <c r="P705" s="5">
        <f>_xlfn.DAYS(Table2[[#This Row],[Date Ended Conversion]],Table2[[#This Row],[Date Created Conversion]])+1</f>
        <v>18</v>
      </c>
      <c r="Q705" t="b">
        <v>1</v>
      </c>
      <c r="R705" t="b">
        <v>1</v>
      </c>
      <c r="S705" t="s">
        <v>206</v>
      </c>
      <c r="T705" t="str">
        <f>_xlfn.TEXTBEFORE(Table2[[#This Row],[category &amp; sub-category]],"/")</f>
        <v>publishing</v>
      </c>
      <c r="U705" t="str">
        <f>_xlfn.TEXTAFTER(Table2[[#This Row],[category &amp; sub-category]],"/")</f>
        <v>translations</v>
      </c>
    </row>
    <row r="706" spans="1:21" ht="34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5">
        <f>100*Table2[[#This Row],[pledged]]/Table2[[#This Row],[goal]]</f>
        <v>122.7816091954023</v>
      </c>
      <c r="G706" t="s">
        <v>20</v>
      </c>
      <c r="H706">
        <v>116</v>
      </c>
      <c r="I706" s="4">
        <f>IF(Table2[[#This Row],[pledged]]&gt;0,Table2[[#This Row],[pledged]]/Table2[[#This Row],[backers_count]],0)</f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8">
        <f t="shared" ref="N706:N769" si="22">(((L706/60)/60)/24)+DATE(1970,1,1)</f>
        <v>42555.208333333328</v>
      </c>
      <c r="O706" s="8">
        <f t="shared" ref="O706:O769" si="23">(((M706/60)/60)/24)+DATE(1970,1,1)</f>
        <v>42570.208333333328</v>
      </c>
      <c r="P706" s="5">
        <f>_xlfn.DAYS(Table2[[#This Row],[Date Ended Conversion]],Table2[[#This Row],[Date Created Conversion]])+1</f>
        <v>16</v>
      </c>
      <c r="Q706" t="b">
        <v>0</v>
      </c>
      <c r="R706" t="b">
        <v>0</v>
      </c>
      <c r="S706" t="s">
        <v>71</v>
      </c>
      <c r="T706" t="str">
        <f>_xlfn.TEXTBEFORE(Table2[[#This Row],[category &amp; sub-category]],"/")</f>
        <v>film &amp; video</v>
      </c>
      <c r="U706" t="str">
        <f>_xlfn.TEXTAFTER(Table2[[#This Row],[category &amp; sub-category]],"/")</f>
        <v>animation</v>
      </c>
    </row>
    <row r="707" spans="1:21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5">
        <f>100*Table2[[#This Row],[pledged]]/Table2[[#This Row],[goal]]</f>
        <v>99.026517383618156</v>
      </c>
      <c r="G707" t="s">
        <v>14</v>
      </c>
      <c r="H707">
        <v>2025</v>
      </c>
      <c r="I707" s="4">
        <f>IF(Table2[[#This Row],[pledged]]&gt;0,Table2[[#This Row],[pledged]]/Table2[[#This Row],[backers_count]],0)</f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8">
        <f t="shared" si="22"/>
        <v>41619.25</v>
      </c>
      <c r="O707" s="8">
        <f t="shared" si="23"/>
        <v>41623.25</v>
      </c>
      <c r="P707" s="5">
        <f>_xlfn.DAYS(Table2[[#This Row],[Date Ended Conversion]],Table2[[#This Row],[Date Created Conversion]])+1</f>
        <v>5</v>
      </c>
      <c r="Q707" t="b">
        <v>0</v>
      </c>
      <c r="R707" t="b">
        <v>0</v>
      </c>
      <c r="S707" t="s">
        <v>68</v>
      </c>
      <c r="T707" t="str">
        <f>_xlfn.TEXTBEFORE(Table2[[#This Row],[category &amp; sub-category]],"/")</f>
        <v>publishing</v>
      </c>
      <c r="U707" t="str">
        <f>_xlfn.TEXTAFTER(Table2[[#This Row],[category &amp; sub-category]],"/")</f>
        <v>nonfiction</v>
      </c>
    </row>
    <row r="708" spans="1:21" ht="34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5">
        <f>100*Table2[[#This Row],[pledged]]/Table2[[#This Row],[goal]]</f>
        <v>127.84686346863468</v>
      </c>
      <c r="G708" t="s">
        <v>20</v>
      </c>
      <c r="H708">
        <v>1345</v>
      </c>
      <c r="I708" s="4">
        <f>IF(Table2[[#This Row],[pledged]]&gt;0,Table2[[#This Row],[pledged]]/Table2[[#This Row],[backers_count]],0)</f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8">
        <f t="shared" si="22"/>
        <v>43471.25</v>
      </c>
      <c r="O708" s="8">
        <f t="shared" si="23"/>
        <v>43479.25</v>
      </c>
      <c r="P708" s="5">
        <f>_xlfn.DAYS(Table2[[#This Row],[Date Ended Conversion]],Table2[[#This Row],[Date Created Conversion]])+1</f>
        <v>9</v>
      </c>
      <c r="Q708" t="b">
        <v>0</v>
      </c>
      <c r="R708" t="b">
        <v>1</v>
      </c>
      <c r="S708" t="s">
        <v>28</v>
      </c>
      <c r="T708" t="str">
        <f>_xlfn.TEXTBEFORE(Table2[[#This Row],[category &amp; sub-category]],"/")</f>
        <v>technology</v>
      </c>
      <c r="U708" t="str">
        <f>_xlfn.TEXTAFTER(Table2[[#This Row],[category &amp; sub-category]],"/")</f>
        <v>web</v>
      </c>
    </row>
    <row r="709" spans="1:21" ht="34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5">
        <f>100*Table2[[#This Row],[pledged]]/Table2[[#This Row],[goal]]</f>
        <v>158.61643835616439</v>
      </c>
      <c r="G709" t="s">
        <v>20</v>
      </c>
      <c r="H709">
        <v>168</v>
      </c>
      <c r="I709" s="4">
        <f>IF(Table2[[#This Row],[pledged]]&gt;0,Table2[[#This Row],[pledged]]/Table2[[#This Row],[backers_count]],0)</f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8">
        <f t="shared" si="22"/>
        <v>43442.25</v>
      </c>
      <c r="O709" s="8">
        <f t="shared" si="23"/>
        <v>43478.25</v>
      </c>
      <c r="P709" s="5">
        <f>_xlfn.DAYS(Table2[[#This Row],[Date Ended Conversion]],Table2[[#This Row],[Date Created Conversion]])+1</f>
        <v>37</v>
      </c>
      <c r="Q709" t="b">
        <v>0</v>
      </c>
      <c r="R709" t="b">
        <v>0</v>
      </c>
      <c r="S709" t="s">
        <v>53</v>
      </c>
      <c r="T709" t="str">
        <f>_xlfn.TEXTBEFORE(Table2[[#This Row],[category &amp; sub-category]],"/")</f>
        <v>film &amp; video</v>
      </c>
      <c r="U709" t="str">
        <f>_xlfn.TEXTAFTER(Table2[[#This Row],[category &amp; sub-category]],"/")</f>
        <v>drama</v>
      </c>
    </row>
    <row r="710" spans="1:21" ht="17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5">
        <f>100*Table2[[#This Row],[pledged]]/Table2[[#This Row],[goal]]</f>
        <v>707.05882352941171</v>
      </c>
      <c r="G710" t="s">
        <v>20</v>
      </c>
      <c r="H710">
        <v>137</v>
      </c>
      <c r="I710" s="4">
        <f>IF(Table2[[#This Row],[pledged]]&gt;0,Table2[[#This Row],[pledged]]/Table2[[#This Row],[backers_count]],0)</f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8">
        <f t="shared" si="22"/>
        <v>42877.208333333328</v>
      </c>
      <c r="O710" s="8">
        <f t="shared" si="23"/>
        <v>42887.208333333328</v>
      </c>
      <c r="P710" s="5">
        <f>_xlfn.DAYS(Table2[[#This Row],[Date Ended Conversion]],Table2[[#This Row],[Date Created Conversion]])+1</f>
        <v>11</v>
      </c>
      <c r="Q710" t="b">
        <v>0</v>
      </c>
      <c r="R710" t="b">
        <v>0</v>
      </c>
      <c r="S710" t="s">
        <v>33</v>
      </c>
      <c r="T710" t="str">
        <f>_xlfn.TEXTBEFORE(Table2[[#This Row],[category &amp; sub-category]],"/")</f>
        <v>theater</v>
      </c>
      <c r="U710" t="str">
        <f>_xlfn.TEXTAFTER(Table2[[#This Row],[category &amp; sub-category]],"/")</f>
        <v>plays</v>
      </c>
    </row>
    <row r="711" spans="1:21" ht="17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5">
        <f>100*Table2[[#This Row],[pledged]]/Table2[[#This Row],[goal]]</f>
        <v>142.38775510204081</v>
      </c>
      <c r="G711" t="s">
        <v>20</v>
      </c>
      <c r="H711">
        <v>186</v>
      </c>
      <c r="I711" s="4">
        <f>IF(Table2[[#This Row],[pledged]]&gt;0,Table2[[#This Row],[pledged]]/Table2[[#This Row],[backers_count]],0)</f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8">
        <f t="shared" si="22"/>
        <v>41018.208333333336</v>
      </c>
      <c r="O711" s="8">
        <f t="shared" si="23"/>
        <v>41025.208333333336</v>
      </c>
      <c r="P711" s="5">
        <f>_xlfn.DAYS(Table2[[#This Row],[Date Ended Conversion]],Table2[[#This Row],[Date Created Conversion]])+1</f>
        <v>8</v>
      </c>
      <c r="Q711" t="b">
        <v>0</v>
      </c>
      <c r="R711" t="b">
        <v>0</v>
      </c>
      <c r="S711" t="s">
        <v>33</v>
      </c>
      <c r="T711" t="str">
        <f>_xlfn.TEXTBEFORE(Table2[[#This Row],[category &amp; sub-category]],"/")</f>
        <v>theater</v>
      </c>
      <c r="U711" t="str">
        <f>_xlfn.TEXTAFTER(Table2[[#This Row],[category &amp; sub-category]],"/")</f>
        <v>plays</v>
      </c>
    </row>
    <row r="712" spans="1:21" ht="34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5">
        <f>100*Table2[[#This Row],[pledged]]/Table2[[#This Row],[goal]]</f>
        <v>147.86046511627907</v>
      </c>
      <c r="G712" t="s">
        <v>20</v>
      </c>
      <c r="H712">
        <v>125</v>
      </c>
      <c r="I712" s="4">
        <f>IF(Table2[[#This Row],[pledged]]&gt;0,Table2[[#This Row],[pledged]]/Table2[[#This Row],[backers_count]],0)</f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8">
        <f t="shared" si="22"/>
        <v>43295.208333333328</v>
      </c>
      <c r="O712" s="8">
        <f t="shared" si="23"/>
        <v>43302.208333333328</v>
      </c>
      <c r="P712" s="5">
        <f>_xlfn.DAYS(Table2[[#This Row],[Date Ended Conversion]],Table2[[#This Row],[Date Created Conversion]])+1</f>
        <v>8</v>
      </c>
      <c r="Q712" t="b">
        <v>0</v>
      </c>
      <c r="R712" t="b">
        <v>1</v>
      </c>
      <c r="S712" t="s">
        <v>33</v>
      </c>
      <c r="T712" t="str">
        <f>_xlfn.TEXTBEFORE(Table2[[#This Row],[category &amp; sub-category]],"/")</f>
        <v>theater</v>
      </c>
      <c r="U712" t="str">
        <f>_xlfn.TEXTAFTER(Table2[[#This Row],[category &amp; sub-category]],"/")</f>
        <v>plays</v>
      </c>
    </row>
    <row r="713" spans="1:21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5">
        <f>100*Table2[[#This Row],[pledged]]/Table2[[#This Row],[goal]]</f>
        <v>20.322580645161292</v>
      </c>
      <c r="G713" t="s">
        <v>14</v>
      </c>
      <c r="H713">
        <v>14</v>
      </c>
      <c r="I713" s="4">
        <f>IF(Table2[[#This Row],[pledged]]&gt;0,Table2[[#This Row],[pledged]]/Table2[[#This Row],[backers_count]],0)</f>
        <v>90</v>
      </c>
      <c r="J713" t="s">
        <v>107</v>
      </c>
      <c r="K713" t="s">
        <v>108</v>
      </c>
      <c r="L713">
        <v>1453615200</v>
      </c>
      <c r="M713">
        <v>1453788000</v>
      </c>
      <c r="N713" s="8">
        <f t="shared" si="22"/>
        <v>42393.25</v>
      </c>
      <c r="O713" s="8">
        <f t="shared" si="23"/>
        <v>42395.25</v>
      </c>
      <c r="P713" s="5">
        <f>_xlfn.DAYS(Table2[[#This Row],[Date Ended Conversion]],Table2[[#This Row],[Date Created Conversion]])+1</f>
        <v>3</v>
      </c>
      <c r="Q713" t="b">
        <v>1</v>
      </c>
      <c r="R713" t="b">
        <v>1</v>
      </c>
      <c r="S713" t="s">
        <v>33</v>
      </c>
      <c r="T713" t="str">
        <f>_xlfn.TEXTBEFORE(Table2[[#This Row],[category &amp; sub-category]],"/")</f>
        <v>theater</v>
      </c>
      <c r="U713" t="str">
        <f>_xlfn.TEXTAFTER(Table2[[#This Row],[category &amp; sub-category]],"/")</f>
        <v>plays</v>
      </c>
    </row>
    <row r="714" spans="1:21" ht="34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5">
        <f>100*Table2[[#This Row],[pledged]]/Table2[[#This Row],[goal]]</f>
        <v>1840.625</v>
      </c>
      <c r="G714" t="s">
        <v>20</v>
      </c>
      <c r="H714">
        <v>202</v>
      </c>
      <c r="I714" s="4">
        <f>IF(Table2[[#This Row],[pledged]]&gt;0,Table2[[#This Row],[pledged]]/Table2[[#This Row],[backers_count]],0)</f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8">
        <f t="shared" si="22"/>
        <v>42559.208333333328</v>
      </c>
      <c r="O714" s="8">
        <f t="shared" si="23"/>
        <v>42600.208333333328</v>
      </c>
      <c r="P714" s="5">
        <f>_xlfn.DAYS(Table2[[#This Row],[Date Ended Conversion]],Table2[[#This Row],[Date Created Conversion]])+1</f>
        <v>42</v>
      </c>
      <c r="Q714" t="b">
        <v>0</v>
      </c>
      <c r="R714" t="b">
        <v>0</v>
      </c>
      <c r="S714" t="s">
        <v>33</v>
      </c>
      <c r="T714" t="str">
        <f>_xlfn.TEXTBEFORE(Table2[[#This Row],[category &amp; sub-category]],"/")</f>
        <v>theater</v>
      </c>
      <c r="U714" t="str">
        <f>_xlfn.TEXTAFTER(Table2[[#This Row],[category &amp; sub-category]],"/")</f>
        <v>plays</v>
      </c>
    </row>
    <row r="715" spans="1:21" ht="17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5">
        <f>100*Table2[[#This Row],[pledged]]/Table2[[#This Row],[goal]]</f>
        <v>161.94202898550725</v>
      </c>
      <c r="G715" t="s">
        <v>20</v>
      </c>
      <c r="H715">
        <v>103</v>
      </c>
      <c r="I715" s="4">
        <f>IF(Table2[[#This Row],[pledged]]&gt;0,Table2[[#This Row],[pledged]]/Table2[[#This Row],[backers_count]],0)</f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8">
        <f t="shared" si="22"/>
        <v>42604.208333333328</v>
      </c>
      <c r="O715" s="8">
        <f t="shared" si="23"/>
        <v>42616.208333333328</v>
      </c>
      <c r="P715" s="5">
        <f>_xlfn.DAYS(Table2[[#This Row],[Date Ended Conversion]],Table2[[#This Row],[Date Created Conversion]])+1</f>
        <v>13</v>
      </c>
      <c r="Q715" t="b">
        <v>0</v>
      </c>
      <c r="R715" t="b">
        <v>0</v>
      </c>
      <c r="S715" t="s">
        <v>133</v>
      </c>
      <c r="T715" t="str">
        <f>_xlfn.TEXTBEFORE(Table2[[#This Row],[category &amp; sub-category]],"/")</f>
        <v>publishing</v>
      </c>
      <c r="U715" t="str">
        <f>_xlfn.TEXTAFTER(Table2[[#This Row],[category &amp; sub-category]],"/")</f>
        <v>radio &amp; podcasts</v>
      </c>
    </row>
    <row r="716" spans="1:21" ht="17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5">
        <f>100*Table2[[#This Row],[pledged]]/Table2[[#This Row],[goal]]</f>
        <v>472.82077922077923</v>
      </c>
      <c r="G716" t="s">
        <v>20</v>
      </c>
      <c r="H716">
        <v>1785</v>
      </c>
      <c r="I716" s="4">
        <f>IF(Table2[[#This Row],[pledged]]&gt;0,Table2[[#This Row],[pledged]]/Table2[[#This Row],[backers_count]],0)</f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8">
        <f t="shared" si="22"/>
        <v>41870.208333333336</v>
      </c>
      <c r="O716" s="8">
        <f t="shared" si="23"/>
        <v>41871.208333333336</v>
      </c>
      <c r="P716" s="5">
        <f>_xlfn.DAYS(Table2[[#This Row],[Date Ended Conversion]],Table2[[#This Row],[Date Created Conversion]])+1</f>
        <v>2</v>
      </c>
      <c r="Q716" t="b">
        <v>0</v>
      </c>
      <c r="R716" t="b">
        <v>0</v>
      </c>
      <c r="S716" t="s">
        <v>23</v>
      </c>
      <c r="T716" t="str">
        <f>_xlfn.TEXTBEFORE(Table2[[#This Row],[category &amp; sub-category]],"/")</f>
        <v>music</v>
      </c>
      <c r="U716" t="str">
        <f>_xlfn.TEXTAFTER(Table2[[#This Row],[category &amp; sub-category]],"/")</f>
        <v>rock</v>
      </c>
    </row>
    <row r="717" spans="1:21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5">
        <f>100*Table2[[#This Row],[pledged]]/Table2[[#This Row],[goal]]</f>
        <v>24.466101694915253</v>
      </c>
      <c r="G717" t="s">
        <v>14</v>
      </c>
      <c r="H717">
        <v>656</v>
      </c>
      <c r="I717" s="4">
        <f>IF(Table2[[#This Row],[pledged]]&gt;0,Table2[[#This Row],[pledged]]/Table2[[#This Row],[backers_count]],0)</f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8">
        <f t="shared" si="22"/>
        <v>40397.208333333336</v>
      </c>
      <c r="O717" s="8">
        <f t="shared" si="23"/>
        <v>40402.208333333336</v>
      </c>
      <c r="P717" s="5">
        <f>_xlfn.DAYS(Table2[[#This Row],[Date Ended Conversion]],Table2[[#This Row],[Date Created Conversion]])+1</f>
        <v>6</v>
      </c>
      <c r="Q717" t="b">
        <v>0</v>
      </c>
      <c r="R717" t="b">
        <v>0</v>
      </c>
      <c r="S717" t="s">
        <v>292</v>
      </c>
      <c r="T717" t="str">
        <f>_xlfn.TEXTBEFORE(Table2[[#This Row],[category &amp; sub-category]],"/")</f>
        <v>games</v>
      </c>
      <c r="U717" t="str">
        <f>_xlfn.TEXTAFTER(Table2[[#This Row],[category &amp; sub-category]],"/")</f>
        <v>mobile games</v>
      </c>
    </row>
    <row r="718" spans="1:21" ht="17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5">
        <f>100*Table2[[#This Row],[pledged]]/Table2[[#This Row],[goal]]</f>
        <v>517.65</v>
      </c>
      <c r="G718" t="s">
        <v>20</v>
      </c>
      <c r="H718">
        <v>157</v>
      </c>
      <c r="I718" s="4">
        <f>IF(Table2[[#This Row],[pledged]]&gt;0,Table2[[#This Row],[pledged]]/Table2[[#This Row],[backers_count]],0)</f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8">
        <f t="shared" si="22"/>
        <v>41465.208333333336</v>
      </c>
      <c r="O718" s="8">
        <f t="shared" si="23"/>
        <v>41493.208333333336</v>
      </c>
      <c r="P718" s="5">
        <f>_xlfn.DAYS(Table2[[#This Row],[Date Ended Conversion]],Table2[[#This Row],[Date Created Conversion]])+1</f>
        <v>29</v>
      </c>
      <c r="Q718" t="b">
        <v>0</v>
      </c>
      <c r="R718" t="b">
        <v>1</v>
      </c>
      <c r="S718" t="s">
        <v>33</v>
      </c>
      <c r="T718" t="str">
        <f>_xlfn.TEXTBEFORE(Table2[[#This Row],[category &amp; sub-category]],"/")</f>
        <v>theater</v>
      </c>
      <c r="U718" t="str">
        <f>_xlfn.TEXTAFTER(Table2[[#This Row],[category &amp; sub-category]],"/")</f>
        <v>plays</v>
      </c>
    </row>
    <row r="719" spans="1:21" ht="34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5">
        <f>100*Table2[[#This Row],[pledged]]/Table2[[#This Row],[goal]]</f>
        <v>247.64285714285714</v>
      </c>
      <c r="G719" t="s">
        <v>20</v>
      </c>
      <c r="H719">
        <v>555</v>
      </c>
      <c r="I719" s="4">
        <f>IF(Table2[[#This Row],[pledged]]&gt;0,Table2[[#This Row],[pledged]]/Table2[[#This Row],[backers_count]],0)</f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8">
        <f t="shared" si="22"/>
        <v>40777.208333333336</v>
      </c>
      <c r="O719" s="8">
        <f t="shared" si="23"/>
        <v>40798.208333333336</v>
      </c>
      <c r="P719" s="5">
        <f>_xlfn.DAYS(Table2[[#This Row],[Date Ended Conversion]],Table2[[#This Row],[Date Created Conversion]])+1</f>
        <v>22</v>
      </c>
      <c r="Q719" t="b">
        <v>0</v>
      </c>
      <c r="R719" t="b">
        <v>0</v>
      </c>
      <c r="S719" t="s">
        <v>42</v>
      </c>
      <c r="T719" t="str">
        <f>_xlfn.TEXTBEFORE(Table2[[#This Row],[category &amp; sub-category]],"/")</f>
        <v>film &amp; video</v>
      </c>
      <c r="U719" t="str">
        <f>_xlfn.TEXTAFTER(Table2[[#This Row],[category &amp; sub-category]],"/")</f>
        <v>documentary</v>
      </c>
    </row>
    <row r="720" spans="1:21" ht="17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5">
        <f>100*Table2[[#This Row],[pledged]]/Table2[[#This Row],[goal]]</f>
        <v>100.20481927710843</v>
      </c>
      <c r="G720" t="s">
        <v>20</v>
      </c>
      <c r="H720">
        <v>297</v>
      </c>
      <c r="I720" s="4">
        <f>IF(Table2[[#This Row],[pledged]]&gt;0,Table2[[#This Row],[pledged]]/Table2[[#This Row],[backers_count]],0)</f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8">
        <f t="shared" si="22"/>
        <v>41442.208333333336</v>
      </c>
      <c r="O720" s="8">
        <f t="shared" si="23"/>
        <v>41468.208333333336</v>
      </c>
      <c r="P720" s="5">
        <f>_xlfn.DAYS(Table2[[#This Row],[Date Ended Conversion]],Table2[[#This Row],[Date Created Conversion]])+1</f>
        <v>27</v>
      </c>
      <c r="Q720" t="b">
        <v>0</v>
      </c>
      <c r="R720" t="b">
        <v>0</v>
      </c>
      <c r="S720" t="s">
        <v>65</v>
      </c>
      <c r="T720" t="str">
        <f>_xlfn.TEXTBEFORE(Table2[[#This Row],[category &amp; sub-category]],"/")</f>
        <v>technology</v>
      </c>
      <c r="U720" t="str">
        <f>_xlfn.TEXTAFTER(Table2[[#This Row],[category &amp; sub-category]],"/")</f>
        <v>wearables</v>
      </c>
    </row>
    <row r="721" spans="1:21" ht="17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5">
        <f>100*Table2[[#This Row],[pledged]]/Table2[[#This Row],[goal]]</f>
        <v>153</v>
      </c>
      <c r="G721" t="s">
        <v>20</v>
      </c>
      <c r="H721">
        <v>123</v>
      </c>
      <c r="I721" s="4">
        <f>IF(Table2[[#This Row],[pledged]]&gt;0,Table2[[#This Row],[pledged]]/Table2[[#This Row],[backers_count]],0)</f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8">
        <f t="shared" si="22"/>
        <v>41058.208333333336</v>
      </c>
      <c r="O721" s="8">
        <f t="shared" si="23"/>
        <v>41069.208333333336</v>
      </c>
      <c r="P721" s="5">
        <f>_xlfn.DAYS(Table2[[#This Row],[Date Ended Conversion]],Table2[[#This Row],[Date Created Conversion]])+1</f>
        <v>12</v>
      </c>
      <c r="Q721" t="b">
        <v>0</v>
      </c>
      <c r="R721" t="b">
        <v>0</v>
      </c>
      <c r="S721" t="s">
        <v>119</v>
      </c>
      <c r="T721" t="str">
        <f>_xlfn.TEXTBEFORE(Table2[[#This Row],[category &amp; sub-category]],"/")</f>
        <v>publishing</v>
      </c>
      <c r="U721" t="str">
        <f>_xlfn.TEXTAFTER(Table2[[#This Row],[category &amp; sub-category]],"/")</f>
        <v>fiction</v>
      </c>
    </row>
    <row r="722" spans="1:21" ht="34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5">
        <f>100*Table2[[#This Row],[pledged]]/Table2[[#This Row],[goal]]</f>
        <v>37.091954022988503</v>
      </c>
      <c r="G722" t="s">
        <v>74</v>
      </c>
      <c r="H722">
        <v>38</v>
      </c>
      <c r="I722" s="4">
        <f>IF(Table2[[#This Row],[pledged]]&gt;0,Table2[[#This Row],[pledged]]/Table2[[#This Row],[backers_count]],0)</f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8">
        <f t="shared" si="22"/>
        <v>43152.25</v>
      </c>
      <c r="O722" s="8">
        <f t="shared" si="23"/>
        <v>43166.25</v>
      </c>
      <c r="P722" s="5">
        <f>_xlfn.DAYS(Table2[[#This Row],[Date Ended Conversion]],Table2[[#This Row],[Date Created Conversion]])+1</f>
        <v>15</v>
      </c>
      <c r="Q722" t="b">
        <v>0</v>
      </c>
      <c r="R722" t="b">
        <v>1</v>
      </c>
      <c r="S722" t="s">
        <v>33</v>
      </c>
      <c r="T722" t="str">
        <f>_xlfn.TEXTBEFORE(Table2[[#This Row],[category &amp; sub-category]],"/")</f>
        <v>theater</v>
      </c>
      <c r="U722" t="str">
        <f>_xlfn.TEXTAFTER(Table2[[#This Row],[category &amp; sub-category]],"/")</f>
        <v>plays</v>
      </c>
    </row>
    <row r="723" spans="1:21" ht="17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5">
        <f>100*Table2[[#This Row],[pledged]]/Table2[[#This Row],[goal]]</f>
        <v>4.3923948220064721</v>
      </c>
      <c r="G723" t="s">
        <v>74</v>
      </c>
      <c r="H723">
        <v>60</v>
      </c>
      <c r="I723" s="4">
        <f>IF(Table2[[#This Row],[pledged]]&gt;0,Table2[[#This Row],[pledged]]/Table2[[#This Row],[backers_count]],0)</f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8">
        <f t="shared" si="22"/>
        <v>43194.208333333328</v>
      </c>
      <c r="O723" s="8">
        <f t="shared" si="23"/>
        <v>43200.208333333328</v>
      </c>
      <c r="P723" s="5">
        <f>_xlfn.DAYS(Table2[[#This Row],[Date Ended Conversion]],Table2[[#This Row],[Date Created Conversion]])+1</f>
        <v>7</v>
      </c>
      <c r="Q723" t="b">
        <v>0</v>
      </c>
      <c r="R723" t="b">
        <v>0</v>
      </c>
      <c r="S723" t="s">
        <v>23</v>
      </c>
      <c r="T723" t="str">
        <f>_xlfn.TEXTBEFORE(Table2[[#This Row],[category &amp; sub-category]],"/")</f>
        <v>music</v>
      </c>
      <c r="U723" t="str">
        <f>_xlfn.TEXTAFTER(Table2[[#This Row],[category &amp; sub-category]],"/")</f>
        <v>rock</v>
      </c>
    </row>
    <row r="724" spans="1:21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5">
        <f>100*Table2[[#This Row],[pledged]]/Table2[[#This Row],[goal]]</f>
        <v>156.50721649484535</v>
      </c>
      <c r="G724" t="s">
        <v>20</v>
      </c>
      <c r="H724">
        <v>3036</v>
      </c>
      <c r="I724" s="4">
        <f>IF(Table2[[#This Row],[pledged]]&gt;0,Table2[[#This Row],[pledged]]/Table2[[#This Row],[backers_count]],0)</f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8">
        <f t="shared" si="22"/>
        <v>43045.25</v>
      </c>
      <c r="O724" s="8">
        <f t="shared" si="23"/>
        <v>43072.25</v>
      </c>
      <c r="P724" s="5">
        <f>_xlfn.DAYS(Table2[[#This Row],[Date Ended Conversion]],Table2[[#This Row],[Date Created Conversion]])+1</f>
        <v>28</v>
      </c>
      <c r="Q724" t="b">
        <v>0</v>
      </c>
      <c r="R724" t="b">
        <v>0</v>
      </c>
      <c r="S724" t="s">
        <v>42</v>
      </c>
      <c r="T724" t="str">
        <f>_xlfn.TEXTBEFORE(Table2[[#This Row],[category &amp; sub-category]],"/")</f>
        <v>film &amp; video</v>
      </c>
      <c r="U724" t="str">
        <f>_xlfn.TEXTAFTER(Table2[[#This Row],[category &amp; sub-category]],"/")</f>
        <v>documentary</v>
      </c>
    </row>
    <row r="725" spans="1:21" ht="17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5">
        <f>100*Table2[[#This Row],[pledged]]/Table2[[#This Row],[goal]]</f>
        <v>270.40816326530614</v>
      </c>
      <c r="G725" t="s">
        <v>20</v>
      </c>
      <c r="H725">
        <v>144</v>
      </c>
      <c r="I725" s="4">
        <f>IF(Table2[[#This Row],[pledged]]&gt;0,Table2[[#This Row],[pledged]]/Table2[[#This Row],[backers_count]],0)</f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8">
        <f t="shared" si="22"/>
        <v>42431.25</v>
      </c>
      <c r="O725" s="8">
        <f t="shared" si="23"/>
        <v>42452.208333333328</v>
      </c>
      <c r="P725" s="5">
        <f>_xlfn.DAYS(Table2[[#This Row],[Date Ended Conversion]],Table2[[#This Row],[Date Created Conversion]])+1</f>
        <v>22</v>
      </c>
      <c r="Q725" t="b">
        <v>0</v>
      </c>
      <c r="R725" t="b">
        <v>0</v>
      </c>
      <c r="S725" t="s">
        <v>33</v>
      </c>
      <c r="T725" t="str">
        <f>_xlfn.TEXTBEFORE(Table2[[#This Row],[category &amp; sub-category]],"/")</f>
        <v>theater</v>
      </c>
      <c r="U725" t="str">
        <f>_xlfn.TEXTAFTER(Table2[[#This Row],[category &amp; sub-category]],"/")</f>
        <v>plays</v>
      </c>
    </row>
    <row r="726" spans="1:21" ht="34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5">
        <f>100*Table2[[#This Row],[pledged]]/Table2[[#This Row],[goal]]</f>
        <v>134.0595238095238</v>
      </c>
      <c r="G726" t="s">
        <v>20</v>
      </c>
      <c r="H726">
        <v>121</v>
      </c>
      <c r="I726" s="4">
        <f>IF(Table2[[#This Row],[pledged]]&gt;0,Table2[[#This Row],[pledged]]/Table2[[#This Row],[backers_count]],0)</f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8">
        <f t="shared" si="22"/>
        <v>41934.208333333336</v>
      </c>
      <c r="O726" s="8">
        <f t="shared" si="23"/>
        <v>41936.208333333336</v>
      </c>
      <c r="P726" s="5">
        <f>_xlfn.DAYS(Table2[[#This Row],[Date Ended Conversion]],Table2[[#This Row],[Date Created Conversion]])+1</f>
        <v>3</v>
      </c>
      <c r="Q726" t="b">
        <v>0</v>
      </c>
      <c r="R726" t="b">
        <v>1</v>
      </c>
      <c r="S726" t="s">
        <v>33</v>
      </c>
      <c r="T726" t="str">
        <f>_xlfn.TEXTBEFORE(Table2[[#This Row],[category &amp; sub-category]],"/")</f>
        <v>theater</v>
      </c>
      <c r="U726" t="str">
        <f>_xlfn.TEXTAFTER(Table2[[#This Row],[category &amp; sub-category]],"/")</f>
        <v>plays</v>
      </c>
    </row>
    <row r="727" spans="1:21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5">
        <f>100*Table2[[#This Row],[pledged]]/Table2[[#This Row],[goal]]</f>
        <v>50.398033126293996</v>
      </c>
      <c r="G727" t="s">
        <v>14</v>
      </c>
      <c r="H727">
        <v>1596</v>
      </c>
      <c r="I727" s="4">
        <f>IF(Table2[[#This Row],[pledged]]&gt;0,Table2[[#This Row],[pledged]]/Table2[[#This Row],[backers_count]],0)</f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8">
        <f t="shared" si="22"/>
        <v>41958.25</v>
      </c>
      <c r="O727" s="8">
        <f t="shared" si="23"/>
        <v>41960.25</v>
      </c>
      <c r="P727" s="5">
        <f>_xlfn.DAYS(Table2[[#This Row],[Date Ended Conversion]],Table2[[#This Row],[Date Created Conversion]])+1</f>
        <v>3</v>
      </c>
      <c r="Q727" t="b">
        <v>0</v>
      </c>
      <c r="R727" t="b">
        <v>0</v>
      </c>
      <c r="S727" t="s">
        <v>292</v>
      </c>
      <c r="T727" t="str">
        <f>_xlfn.TEXTBEFORE(Table2[[#This Row],[category &amp; sub-category]],"/")</f>
        <v>games</v>
      </c>
      <c r="U727" t="str">
        <f>_xlfn.TEXTAFTER(Table2[[#This Row],[category &amp; sub-category]],"/")</f>
        <v>mobile games</v>
      </c>
    </row>
    <row r="728" spans="1:21" ht="17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5">
        <f>100*Table2[[#This Row],[pledged]]/Table2[[#This Row],[goal]]</f>
        <v>88.815837937384899</v>
      </c>
      <c r="G728" t="s">
        <v>74</v>
      </c>
      <c r="H728">
        <v>524</v>
      </c>
      <c r="I728" s="4">
        <f>IF(Table2[[#This Row],[pledged]]&gt;0,Table2[[#This Row],[pledged]]/Table2[[#This Row],[backers_count]],0)</f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8">
        <f t="shared" si="22"/>
        <v>40476.208333333336</v>
      </c>
      <c r="O728" s="8">
        <f t="shared" si="23"/>
        <v>40482.208333333336</v>
      </c>
      <c r="P728" s="5">
        <f>_xlfn.DAYS(Table2[[#This Row],[Date Ended Conversion]],Table2[[#This Row],[Date Created Conversion]])+1</f>
        <v>7</v>
      </c>
      <c r="Q728" t="b">
        <v>0</v>
      </c>
      <c r="R728" t="b">
        <v>1</v>
      </c>
      <c r="S728" t="s">
        <v>33</v>
      </c>
      <c r="T728" t="str">
        <f>_xlfn.TEXTBEFORE(Table2[[#This Row],[category &amp; sub-category]],"/")</f>
        <v>theater</v>
      </c>
      <c r="U728" t="str">
        <f>_xlfn.TEXTAFTER(Table2[[#This Row],[category &amp; sub-category]],"/")</f>
        <v>plays</v>
      </c>
    </row>
    <row r="729" spans="1:21" ht="17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5">
        <f>100*Table2[[#This Row],[pledged]]/Table2[[#This Row],[goal]]</f>
        <v>165</v>
      </c>
      <c r="G729" t="s">
        <v>20</v>
      </c>
      <c r="H729">
        <v>181</v>
      </c>
      <c r="I729" s="4">
        <f>IF(Table2[[#This Row],[pledged]]&gt;0,Table2[[#This Row],[pledged]]/Table2[[#This Row],[backers_count]],0)</f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8">
        <f t="shared" si="22"/>
        <v>43485.25</v>
      </c>
      <c r="O729" s="8">
        <f t="shared" si="23"/>
        <v>43543.208333333328</v>
      </c>
      <c r="P729" s="5">
        <f>_xlfn.DAYS(Table2[[#This Row],[Date Ended Conversion]],Table2[[#This Row],[Date Created Conversion]])+1</f>
        <v>59</v>
      </c>
      <c r="Q729" t="b">
        <v>0</v>
      </c>
      <c r="R729" t="b">
        <v>0</v>
      </c>
      <c r="S729" t="s">
        <v>28</v>
      </c>
      <c r="T729" t="str">
        <f>_xlfn.TEXTBEFORE(Table2[[#This Row],[category &amp; sub-category]],"/")</f>
        <v>technology</v>
      </c>
      <c r="U729" t="str">
        <f>_xlfn.TEXTAFTER(Table2[[#This Row],[category &amp; sub-category]],"/")</f>
        <v>web</v>
      </c>
    </row>
    <row r="730" spans="1:21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5">
        <f>100*Table2[[#This Row],[pledged]]/Table2[[#This Row],[goal]]</f>
        <v>17.5</v>
      </c>
      <c r="G730" t="s">
        <v>14</v>
      </c>
      <c r="H730">
        <v>10</v>
      </c>
      <c r="I730" s="4">
        <f>IF(Table2[[#This Row],[pledged]]&gt;0,Table2[[#This Row],[pledged]]/Table2[[#This Row],[backers_count]],0)</f>
        <v>73.5</v>
      </c>
      <c r="J730" t="s">
        <v>21</v>
      </c>
      <c r="K730" t="s">
        <v>22</v>
      </c>
      <c r="L730">
        <v>1464152400</v>
      </c>
      <c r="M730">
        <v>1465102800</v>
      </c>
      <c r="N730" s="8">
        <f t="shared" si="22"/>
        <v>42515.208333333328</v>
      </c>
      <c r="O730" s="8">
        <f t="shared" si="23"/>
        <v>42526.208333333328</v>
      </c>
      <c r="P730" s="5">
        <f>_xlfn.DAYS(Table2[[#This Row],[Date Ended Conversion]],Table2[[#This Row],[Date Created Conversion]])+1</f>
        <v>12</v>
      </c>
      <c r="Q730" t="b">
        <v>0</v>
      </c>
      <c r="R730" t="b">
        <v>0</v>
      </c>
      <c r="S730" t="s">
        <v>33</v>
      </c>
      <c r="T730" t="str">
        <f>_xlfn.TEXTBEFORE(Table2[[#This Row],[category &amp; sub-category]],"/")</f>
        <v>theater</v>
      </c>
      <c r="U730" t="str">
        <f>_xlfn.TEXTAFTER(Table2[[#This Row],[category &amp; sub-category]],"/")</f>
        <v>plays</v>
      </c>
    </row>
    <row r="731" spans="1:21" ht="34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5">
        <f>100*Table2[[#This Row],[pledged]]/Table2[[#This Row],[goal]]</f>
        <v>185.66071428571428</v>
      </c>
      <c r="G731" t="s">
        <v>20</v>
      </c>
      <c r="H731">
        <v>122</v>
      </c>
      <c r="I731" s="4">
        <f>IF(Table2[[#This Row],[pledged]]&gt;0,Table2[[#This Row],[pledged]]/Table2[[#This Row],[backers_count]],0)</f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8">
        <f t="shared" si="22"/>
        <v>41309.25</v>
      </c>
      <c r="O731" s="8">
        <f t="shared" si="23"/>
        <v>41311.25</v>
      </c>
      <c r="P731" s="5">
        <f>_xlfn.DAYS(Table2[[#This Row],[Date Ended Conversion]],Table2[[#This Row],[Date Created Conversion]])+1</f>
        <v>3</v>
      </c>
      <c r="Q731" t="b">
        <v>0</v>
      </c>
      <c r="R731" t="b">
        <v>0</v>
      </c>
      <c r="S731" t="s">
        <v>53</v>
      </c>
      <c r="T731" t="str">
        <f>_xlfn.TEXTBEFORE(Table2[[#This Row],[category &amp; sub-category]],"/")</f>
        <v>film &amp; video</v>
      </c>
      <c r="U731" t="str">
        <f>_xlfn.TEXTAFTER(Table2[[#This Row],[category &amp; sub-category]],"/")</f>
        <v>drama</v>
      </c>
    </row>
    <row r="732" spans="1:21" ht="17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5">
        <f>100*Table2[[#This Row],[pledged]]/Table2[[#This Row],[goal]]</f>
        <v>412.66319444444446</v>
      </c>
      <c r="G732" t="s">
        <v>20</v>
      </c>
      <c r="H732">
        <v>1071</v>
      </c>
      <c r="I732" s="4">
        <f>IF(Table2[[#This Row],[pledged]]&gt;0,Table2[[#This Row],[pledged]]/Table2[[#This Row],[backers_count]],0)</f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8">
        <f t="shared" si="22"/>
        <v>42147.208333333328</v>
      </c>
      <c r="O732" s="8">
        <f t="shared" si="23"/>
        <v>42153.208333333328</v>
      </c>
      <c r="P732" s="5">
        <f>_xlfn.DAYS(Table2[[#This Row],[Date Ended Conversion]],Table2[[#This Row],[Date Created Conversion]])+1</f>
        <v>7</v>
      </c>
      <c r="Q732" t="b">
        <v>0</v>
      </c>
      <c r="R732" t="b">
        <v>0</v>
      </c>
      <c r="S732" t="s">
        <v>65</v>
      </c>
      <c r="T732" t="str">
        <f>_xlfn.TEXTBEFORE(Table2[[#This Row],[category &amp; sub-category]],"/")</f>
        <v>technology</v>
      </c>
      <c r="U732" t="str">
        <f>_xlfn.TEXTAFTER(Table2[[#This Row],[category &amp; sub-category]],"/")</f>
        <v>wearables</v>
      </c>
    </row>
    <row r="733" spans="1:21" ht="17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5">
        <f>100*Table2[[#This Row],[pledged]]/Table2[[#This Row],[goal]]</f>
        <v>90.25</v>
      </c>
      <c r="G733" t="s">
        <v>74</v>
      </c>
      <c r="H733">
        <v>219</v>
      </c>
      <c r="I733" s="4">
        <f>IF(Table2[[#This Row],[pledged]]&gt;0,Table2[[#This Row],[pledged]]/Table2[[#This Row],[backers_count]],0)</f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8">
        <f t="shared" si="22"/>
        <v>42939.208333333328</v>
      </c>
      <c r="O733" s="8">
        <f t="shared" si="23"/>
        <v>42940.208333333328</v>
      </c>
      <c r="P733" s="5">
        <f>_xlfn.DAYS(Table2[[#This Row],[Date Ended Conversion]],Table2[[#This Row],[Date Created Conversion]])+1</f>
        <v>2</v>
      </c>
      <c r="Q733" t="b">
        <v>0</v>
      </c>
      <c r="R733" t="b">
        <v>0</v>
      </c>
      <c r="S733" t="s">
        <v>28</v>
      </c>
      <c r="T733" t="str">
        <f>_xlfn.TEXTBEFORE(Table2[[#This Row],[category &amp; sub-category]],"/")</f>
        <v>technology</v>
      </c>
      <c r="U733" t="str">
        <f>_xlfn.TEXTAFTER(Table2[[#This Row],[category &amp; sub-category]],"/")</f>
        <v>web</v>
      </c>
    </row>
    <row r="734" spans="1:21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5">
        <f>100*Table2[[#This Row],[pledged]]/Table2[[#This Row],[goal]]</f>
        <v>91.984615384615381</v>
      </c>
      <c r="G734" t="s">
        <v>14</v>
      </c>
      <c r="H734">
        <v>1121</v>
      </c>
      <c r="I734" s="4">
        <f>IF(Table2[[#This Row],[pledged]]&gt;0,Table2[[#This Row],[pledged]]/Table2[[#This Row],[backers_count]],0)</f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8">
        <f t="shared" si="22"/>
        <v>42816.208333333328</v>
      </c>
      <c r="O734" s="8">
        <f t="shared" si="23"/>
        <v>42839.208333333328</v>
      </c>
      <c r="P734" s="5">
        <f>_xlfn.DAYS(Table2[[#This Row],[Date Ended Conversion]],Table2[[#This Row],[Date Created Conversion]])+1</f>
        <v>24</v>
      </c>
      <c r="Q734" t="b">
        <v>0</v>
      </c>
      <c r="R734" t="b">
        <v>1</v>
      </c>
      <c r="S734" t="s">
        <v>23</v>
      </c>
      <c r="T734" t="str">
        <f>_xlfn.TEXTBEFORE(Table2[[#This Row],[category &amp; sub-category]],"/")</f>
        <v>music</v>
      </c>
      <c r="U734" t="str">
        <f>_xlfn.TEXTAFTER(Table2[[#This Row],[category &amp; sub-category]],"/")</f>
        <v>rock</v>
      </c>
    </row>
    <row r="735" spans="1:21" ht="17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5">
        <f>100*Table2[[#This Row],[pledged]]/Table2[[#This Row],[goal]]</f>
        <v>527.00632911392404</v>
      </c>
      <c r="G735" t="s">
        <v>20</v>
      </c>
      <c r="H735">
        <v>980</v>
      </c>
      <c r="I735" s="4">
        <f>IF(Table2[[#This Row],[pledged]]&gt;0,Table2[[#This Row],[pledged]]/Table2[[#This Row],[backers_count]],0)</f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8">
        <f t="shared" si="22"/>
        <v>41844.208333333336</v>
      </c>
      <c r="O735" s="8">
        <f t="shared" si="23"/>
        <v>41857.208333333336</v>
      </c>
      <c r="P735" s="5">
        <f>_xlfn.DAYS(Table2[[#This Row],[Date Ended Conversion]],Table2[[#This Row],[Date Created Conversion]])+1</f>
        <v>14</v>
      </c>
      <c r="Q735" t="b">
        <v>0</v>
      </c>
      <c r="R735" t="b">
        <v>0</v>
      </c>
      <c r="S735" t="s">
        <v>148</v>
      </c>
      <c r="T735" t="str">
        <f>_xlfn.TEXTBEFORE(Table2[[#This Row],[category &amp; sub-category]],"/")</f>
        <v>music</v>
      </c>
      <c r="U735" t="str">
        <f>_xlfn.TEXTAFTER(Table2[[#This Row],[category &amp; sub-category]],"/")</f>
        <v>metal</v>
      </c>
    </row>
    <row r="736" spans="1:21" ht="17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5">
        <f>100*Table2[[#This Row],[pledged]]/Table2[[#This Row],[goal]]</f>
        <v>319.14285714285717</v>
      </c>
      <c r="G736" t="s">
        <v>20</v>
      </c>
      <c r="H736">
        <v>536</v>
      </c>
      <c r="I736" s="4">
        <f>IF(Table2[[#This Row],[pledged]]&gt;0,Table2[[#This Row],[pledged]]/Table2[[#This Row],[backers_count]],0)</f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8">
        <f t="shared" si="22"/>
        <v>42763.25</v>
      </c>
      <c r="O736" s="8">
        <f t="shared" si="23"/>
        <v>42775.25</v>
      </c>
      <c r="P736" s="5">
        <f>_xlfn.DAYS(Table2[[#This Row],[Date Ended Conversion]],Table2[[#This Row],[Date Created Conversion]])+1</f>
        <v>13</v>
      </c>
      <c r="Q736" t="b">
        <v>0</v>
      </c>
      <c r="R736" t="b">
        <v>1</v>
      </c>
      <c r="S736" t="s">
        <v>33</v>
      </c>
      <c r="T736" t="str">
        <f>_xlfn.TEXTBEFORE(Table2[[#This Row],[category &amp; sub-category]],"/")</f>
        <v>theater</v>
      </c>
      <c r="U736" t="str">
        <f>_xlfn.TEXTAFTER(Table2[[#This Row],[category &amp; sub-category]],"/")</f>
        <v>plays</v>
      </c>
    </row>
    <row r="737" spans="1:21" ht="34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5">
        <f>100*Table2[[#This Row],[pledged]]/Table2[[#This Row],[goal]]</f>
        <v>354.18867924528303</v>
      </c>
      <c r="G737" t="s">
        <v>20</v>
      </c>
      <c r="H737">
        <v>1991</v>
      </c>
      <c r="I737" s="4">
        <f>IF(Table2[[#This Row],[pledged]]&gt;0,Table2[[#This Row],[pledged]]/Table2[[#This Row],[backers_count]],0)</f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8">
        <f t="shared" si="22"/>
        <v>42459.208333333328</v>
      </c>
      <c r="O737" s="8">
        <f t="shared" si="23"/>
        <v>42466.208333333328</v>
      </c>
      <c r="P737" s="5">
        <f>_xlfn.DAYS(Table2[[#This Row],[Date Ended Conversion]],Table2[[#This Row],[Date Created Conversion]])+1</f>
        <v>8</v>
      </c>
      <c r="Q737" t="b">
        <v>0</v>
      </c>
      <c r="R737" t="b">
        <v>0</v>
      </c>
      <c r="S737" t="s">
        <v>122</v>
      </c>
      <c r="T737" t="str">
        <f>_xlfn.TEXTBEFORE(Table2[[#This Row],[category &amp; sub-category]],"/")</f>
        <v>photography</v>
      </c>
      <c r="U737" t="str">
        <f>_xlfn.TEXTAFTER(Table2[[#This Row],[category &amp; sub-category]],"/")</f>
        <v>photography books</v>
      </c>
    </row>
    <row r="738" spans="1:21" ht="17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5">
        <f>100*Table2[[#This Row],[pledged]]/Table2[[#This Row],[goal]]</f>
        <v>32.896103896103895</v>
      </c>
      <c r="G738" t="s">
        <v>74</v>
      </c>
      <c r="H738">
        <v>29</v>
      </c>
      <c r="I738" s="4">
        <f>IF(Table2[[#This Row],[pledged]]&gt;0,Table2[[#This Row],[pledged]]/Table2[[#This Row],[backers_count]],0)</f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8">
        <f t="shared" si="22"/>
        <v>42055.25</v>
      </c>
      <c r="O738" s="8">
        <f t="shared" si="23"/>
        <v>42059.25</v>
      </c>
      <c r="P738" s="5">
        <f>_xlfn.DAYS(Table2[[#This Row],[Date Ended Conversion]],Table2[[#This Row],[Date Created Conversion]])+1</f>
        <v>5</v>
      </c>
      <c r="Q738" t="b">
        <v>0</v>
      </c>
      <c r="R738" t="b">
        <v>0</v>
      </c>
      <c r="S738" t="s">
        <v>68</v>
      </c>
      <c r="T738" t="str">
        <f>_xlfn.TEXTBEFORE(Table2[[#This Row],[category &amp; sub-category]],"/")</f>
        <v>publishing</v>
      </c>
      <c r="U738" t="str">
        <f>_xlfn.TEXTAFTER(Table2[[#This Row],[category &amp; sub-category]],"/")</f>
        <v>nonfiction</v>
      </c>
    </row>
    <row r="739" spans="1:21" ht="34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5">
        <f>100*Table2[[#This Row],[pledged]]/Table2[[#This Row],[goal]]</f>
        <v>135.8918918918919</v>
      </c>
      <c r="G739" t="s">
        <v>20</v>
      </c>
      <c r="H739">
        <v>180</v>
      </c>
      <c r="I739" s="4">
        <f>IF(Table2[[#This Row],[pledged]]&gt;0,Table2[[#This Row],[pledged]]/Table2[[#This Row],[backers_count]],0)</f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8">
        <f t="shared" si="22"/>
        <v>42685.25</v>
      </c>
      <c r="O739" s="8">
        <f t="shared" si="23"/>
        <v>42697.25</v>
      </c>
      <c r="P739" s="5">
        <f>_xlfn.DAYS(Table2[[#This Row],[Date Ended Conversion]],Table2[[#This Row],[Date Created Conversion]])+1</f>
        <v>13</v>
      </c>
      <c r="Q739" t="b">
        <v>0</v>
      </c>
      <c r="R739" t="b">
        <v>0</v>
      </c>
      <c r="S739" t="s">
        <v>60</v>
      </c>
      <c r="T739" t="str">
        <f>_xlfn.TEXTBEFORE(Table2[[#This Row],[category &amp; sub-category]],"/")</f>
        <v>music</v>
      </c>
      <c r="U739" t="str">
        <f>_xlfn.TEXTAFTER(Table2[[#This Row],[category &amp; sub-category]],"/")</f>
        <v>indie rock</v>
      </c>
    </row>
    <row r="740" spans="1:21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5">
        <f>100*Table2[[#This Row],[pledged]]/Table2[[#This Row],[goal]]</f>
        <v>2.0843373493975905</v>
      </c>
      <c r="G740" t="s">
        <v>14</v>
      </c>
      <c r="H740">
        <v>15</v>
      </c>
      <c r="I740" s="4">
        <f>IF(Table2[[#This Row],[pledged]]&gt;0,Table2[[#This Row],[pledged]]/Table2[[#This Row],[backers_count]],0)</f>
        <v>103.8</v>
      </c>
      <c r="J740" t="s">
        <v>21</v>
      </c>
      <c r="K740" t="s">
        <v>22</v>
      </c>
      <c r="L740">
        <v>1416117600</v>
      </c>
      <c r="M740">
        <v>1418018400</v>
      </c>
      <c r="N740" s="8">
        <f t="shared" si="22"/>
        <v>41959.25</v>
      </c>
      <c r="O740" s="8">
        <f t="shared" si="23"/>
        <v>41981.25</v>
      </c>
      <c r="P740" s="5">
        <f>_xlfn.DAYS(Table2[[#This Row],[Date Ended Conversion]],Table2[[#This Row],[Date Created Conversion]])+1</f>
        <v>23</v>
      </c>
      <c r="Q740" t="b">
        <v>0</v>
      </c>
      <c r="R740" t="b">
        <v>1</v>
      </c>
      <c r="S740" t="s">
        <v>33</v>
      </c>
      <c r="T740" t="str">
        <f>_xlfn.TEXTBEFORE(Table2[[#This Row],[category &amp; sub-category]],"/")</f>
        <v>theater</v>
      </c>
      <c r="U740" t="str">
        <f>_xlfn.TEXTAFTER(Table2[[#This Row],[category &amp; sub-category]],"/")</f>
        <v>plays</v>
      </c>
    </row>
    <row r="741" spans="1:21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5">
        <f>100*Table2[[#This Row],[pledged]]/Table2[[#This Row],[goal]]</f>
        <v>61</v>
      </c>
      <c r="G741" t="s">
        <v>14</v>
      </c>
      <c r="H741">
        <v>191</v>
      </c>
      <c r="I741" s="4">
        <f>IF(Table2[[#This Row],[pledged]]&gt;0,Table2[[#This Row],[pledged]]/Table2[[#This Row],[backers_count]],0)</f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8">
        <f t="shared" si="22"/>
        <v>41089.208333333336</v>
      </c>
      <c r="O741" s="8">
        <f t="shared" si="23"/>
        <v>41090.208333333336</v>
      </c>
      <c r="P741" s="5">
        <f>_xlfn.DAYS(Table2[[#This Row],[Date Ended Conversion]],Table2[[#This Row],[Date Created Conversion]])+1</f>
        <v>2</v>
      </c>
      <c r="Q741" t="b">
        <v>0</v>
      </c>
      <c r="R741" t="b">
        <v>0</v>
      </c>
      <c r="S741" t="s">
        <v>60</v>
      </c>
      <c r="T741" t="str">
        <f>_xlfn.TEXTBEFORE(Table2[[#This Row],[category &amp; sub-category]],"/")</f>
        <v>music</v>
      </c>
      <c r="U741" t="str">
        <f>_xlfn.TEXTAFTER(Table2[[#This Row],[category &amp; sub-category]],"/")</f>
        <v>indie rock</v>
      </c>
    </row>
    <row r="742" spans="1:21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5">
        <f>100*Table2[[#This Row],[pledged]]/Table2[[#This Row],[goal]]</f>
        <v>30.037735849056602</v>
      </c>
      <c r="G742" t="s">
        <v>14</v>
      </c>
      <c r="H742">
        <v>16</v>
      </c>
      <c r="I742" s="4">
        <f>IF(Table2[[#This Row],[pledged]]&gt;0,Table2[[#This Row],[pledged]]/Table2[[#This Row],[backers_count]],0)</f>
        <v>99.5</v>
      </c>
      <c r="J742" t="s">
        <v>21</v>
      </c>
      <c r="K742" t="s">
        <v>22</v>
      </c>
      <c r="L742">
        <v>1486101600</v>
      </c>
      <c r="M742">
        <v>1486360800</v>
      </c>
      <c r="N742" s="8">
        <f t="shared" si="22"/>
        <v>42769.25</v>
      </c>
      <c r="O742" s="8">
        <f t="shared" si="23"/>
        <v>42772.25</v>
      </c>
      <c r="P742" s="5">
        <f>_xlfn.DAYS(Table2[[#This Row],[Date Ended Conversion]],Table2[[#This Row],[Date Created Conversion]])+1</f>
        <v>4</v>
      </c>
      <c r="Q742" t="b">
        <v>0</v>
      </c>
      <c r="R742" t="b">
        <v>0</v>
      </c>
      <c r="S742" t="s">
        <v>33</v>
      </c>
      <c r="T742" t="str">
        <f>_xlfn.TEXTBEFORE(Table2[[#This Row],[category &amp; sub-category]],"/")</f>
        <v>theater</v>
      </c>
      <c r="U742" t="str">
        <f>_xlfn.TEXTAFTER(Table2[[#This Row],[category &amp; sub-category]],"/")</f>
        <v>plays</v>
      </c>
    </row>
    <row r="743" spans="1:21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5">
        <f>100*Table2[[#This Row],[pledged]]/Table2[[#This Row],[goal]]</f>
        <v>1179.1666666666667</v>
      </c>
      <c r="G743" t="s">
        <v>20</v>
      </c>
      <c r="H743">
        <v>130</v>
      </c>
      <c r="I743" s="4">
        <f>IF(Table2[[#This Row],[pledged]]&gt;0,Table2[[#This Row],[pledged]]/Table2[[#This Row],[backers_count]],0)</f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8">
        <f t="shared" si="22"/>
        <v>40321.208333333336</v>
      </c>
      <c r="O743" s="8">
        <f t="shared" si="23"/>
        <v>40322.208333333336</v>
      </c>
      <c r="P743" s="5">
        <f>_xlfn.DAYS(Table2[[#This Row],[Date Ended Conversion]],Table2[[#This Row],[Date Created Conversion]])+1</f>
        <v>2</v>
      </c>
      <c r="Q743" t="b">
        <v>0</v>
      </c>
      <c r="R743" t="b">
        <v>0</v>
      </c>
      <c r="S743" t="s">
        <v>33</v>
      </c>
      <c r="T743" t="str">
        <f>_xlfn.TEXTBEFORE(Table2[[#This Row],[category &amp; sub-category]],"/")</f>
        <v>theater</v>
      </c>
      <c r="U743" t="str">
        <f>_xlfn.TEXTAFTER(Table2[[#This Row],[category &amp; sub-category]],"/")</f>
        <v>plays</v>
      </c>
    </row>
    <row r="744" spans="1:21" ht="17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5">
        <f>100*Table2[[#This Row],[pledged]]/Table2[[#This Row],[goal]]</f>
        <v>1126.0833333333333</v>
      </c>
      <c r="G744" t="s">
        <v>20</v>
      </c>
      <c r="H744">
        <v>122</v>
      </c>
      <c r="I744" s="4">
        <f>IF(Table2[[#This Row],[pledged]]&gt;0,Table2[[#This Row],[pledged]]/Table2[[#This Row],[backers_count]],0)</f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8">
        <f t="shared" si="22"/>
        <v>40197.25</v>
      </c>
      <c r="O744" s="8">
        <f t="shared" si="23"/>
        <v>40239.25</v>
      </c>
      <c r="P744" s="5">
        <f>_xlfn.DAYS(Table2[[#This Row],[Date Ended Conversion]],Table2[[#This Row],[Date Created Conversion]])+1</f>
        <v>43</v>
      </c>
      <c r="Q744" t="b">
        <v>0</v>
      </c>
      <c r="R744" t="b">
        <v>0</v>
      </c>
      <c r="S744" t="s">
        <v>50</v>
      </c>
      <c r="T744" t="str">
        <f>_xlfn.TEXTBEFORE(Table2[[#This Row],[category &amp; sub-category]],"/")</f>
        <v>music</v>
      </c>
      <c r="U744" t="str">
        <f>_xlfn.TEXTAFTER(Table2[[#This Row],[category &amp; sub-category]],"/")</f>
        <v>electric music</v>
      </c>
    </row>
    <row r="745" spans="1:21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5">
        <f>100*Table2[[#This Row],[pledged]]/Table2[[#This Row],[goal]]</f>
        <v>12.923076923076923</v>
      </c>
      <c r="G745" t="s">
        <v>14</v>
      </c>
      <c r="H745">
        <v>17</v>
      </c>
      <c r="I745" s="4">
        <f>IF(Table2[[#This Row],[pledged]]&gt;0,Table2[[#This Row],[pledged]]/Table2[[#This Row],[backers_count]],0)</f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8">
        <f t="shared" si="22"/>
        <v>42298.208333333328</v>
      </c>
      <c r="O745" s="8">
        <f t="shared" si="23"/>
        <v>42304.208333333328</v>
      </c>
      <c r="P745" s="5">
        <f>_xlfn.DAYS(Table2[[#This Row],[Date Ended Conversion]],Table2[[#This Row],[Date Created Conversion]])+1</f>
        <v>7</v>
      </c>
      <c r="Q745" t="b">
        <v>0</v>
      </c>
      <c r="R745" t="b">
        <v>1</v>
      </c>
      <c r="S745" t="s">
        <v>33</v>
      </c>
      <c r="T745" t="str">
        <f>_xlfn.TEXTBEFORE(Table2[[#This Row],[category &amp; sub-category]],"/")</f>
        <v>theater</v>
      </c>
      <c r="U745" t="str">
        <f>_xlfn.TEXTAFTER(Table2[[#This Row],[category &amp; sub-category]],"/")</f>
        <v>plays</v>
      </c>
    </row>
    <row r="746" spans="1:21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5">
        <f>100*Table2[[#This Row],[pledged]]/Table2[[#This Row],[goal]]</f>
        <v>712</v>
      </c>
      <c r="G746" t="s">
        <v>20</v>
      </c>
      <c r="H746">
        <v>140</v>
      </c>
      <c r="I746" s="4">
        <f>IF(Table2[[#This Row],[pledged]]&gt;0,Table2[[#This Row],[pledged]]/Table2[[#This Row],[backers_count]],0)</f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8">
        <f t="shared" si="22"/>
        <v>43322.208333333328</v>
      </c>
      <c r="O746" s="8">
        <f t="shared" si="23"/>
        <v>43324.208333333328</v>
      </c>
      <c r="P746" s="5">
        <f>_xlfn.DAYS(Table2[[#This Row],[Date Ended Conversion]],Table2[[#This Row],[Date Created Conversion]])+1</f>
        <v>3</v>
      </c>
      <c r="Q746" t="b">
        <v>0</v>
      </c>
      <c r="R746" t="b">
        <v>1</v>
      </c>
      <c r="S746" t="s">
        <v>33</v>
      </c>
      <c r="T746" t="str">
        <f>_xlfn.TEXTBEFORE(Table2[[#This Row],[category &amp; sub-category]],"/")</f>
        <v>theater</v>
      </c>
      <c r="U746" t="str">
        <f>_xlfn.TEXTAFTER(Table2[[#This Row],[category &amp; sub-category]],"/")</f>
        <v>plays</v>
      </c>
    </row>
    <row r="747" spans="1:21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5">
        <f>100*Table2[[#This Row],[pledged]]/Table2[[#This Row],[goal]]</f>
        <v>30.304347826086957</v>
      </c>
      <c r="G747" t="s">
        <v>14</v>
      </c>
      <c r="H747">
        <v>34</v>
      </c>
      <c r="I747" s="4">
        <f>IF(Table2[[#This Row],[pledged]]&gt;0,Table2[[#This Row],[pledged]]/Table2[[#This Row],[backers_count]],0)</f>
        <v>61.5</v>
      </c>
      <c r="J747" t="s">
        <v>21</v>
      </c>
      <c r="K747" t="s">
        <v>22</v>
      </c>
      <c r="L747">
        <v>1275195600</v>
      </c>
      <c r="M747">
        <v>1277528400</v>
      </c>
      <c r="N747" s="8">
        <f t="shared" si="22"/>
        <v>40328.208333333336</v>
      </c>
      <c r="O747" s="8">
        <f t="shared" si="23"/>
        <v>40355.208333333336</v>
      </c>
      <c r="P747" s="5">
        <f>_xlfn.DAYS(Table2[[#This Row],[Date Ended Conversion]],Table2[[#This Row],[Date Created Conversion]])+1</f>
        <v>28</v>
      </c>
      <c r="Q747" t="b">
        <v>0</v>
      </c>
      <c r="R747" t="b">
        <v>0</v>
      </c>
      <c r="S747" t="s">
        <v>65</v>
      </c>
      <c r="T747" t="str">
        <f>_xlfn.TEXTBEFORE(Table2[[#This Row],[category &amp; sub-category]],"/")</f>
        <v>technology</v>
      </c>
      <c r="U747" t="str">
        <f>_xlfn.TEXTAFTER(Table2[[#This Row],[category &amp; sub-category]],"/")</f>
        <v>wearables</v>
      </c>
    </row>
    <row r="748" spans="1:21" ht="17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5">
        <f>100*Table2[[#This Row],[pledged]]/Table2[[#This Row],[goal]]</f>
        <v>212.50896057347671</v>
      </c>
      <c r="G748" t="s">
        <v>20</v>
      </c>
      <c r="H748">
        <v>3388</v>
      </c>
      <c r="I748" s="4">
        <f>IF(Table2[[#This Row],[pledged]]&gt;0,Table2[[#This Row],[pledged]]/Table2[[#This Row],[backers_count]],0)</f>
        <v>35</v>
      </c>
      <c r="J748" t="s">
        <v>21</v>
      </c>
      <c r="K748" t="s">
        <v>22</v>
      </c>
      <c r="L748">
        <v>1318136400</v>
      </c>
      <c r="M748">
        <v>1318568400</v>
      </c>
      <c r="N748" s="8">
        <f t="shared" si="22"/>
        <v>40825.208333333336</v>
      </c>
      <c r="O748" s="8">
        <f t="shared" si="23"/>
        <v>40830.208333333336</v>
      </c>
      <c r="P748" s="5">
        <f>_xlfn.DAYS(Table2[[#This Row],[Date Ended Conversion]],Table2[[#This Row],[Date Created Conversion]])+1</f>
        <v>6</v>
      </c>
      <c r="Q748" t="b">
        <v>0</v>
      </c>
      <c r="R748" t="b">
        <v>0</v>
      </c>
      <c r="S748" t="s">
        <v>28</v>
      </c>
      <c r="T748" t="str">
        <f>_xlfn.TEXTBEFORE(Table2[[#This Row],[category &amp; sub-category]],"/")</f>
        <v>technology</v>
      </c>
      <c r="U748" t="str">
        <f>_xlfn.TEXTAFTER(Table2[[#This Row],[category &amp; sub-category]],"/")</f>
        <v>web</v>
      </c>
    </row>
    <row r="749" spans="1:21" ht="17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5">
        <f>100*Table2[[#This Row],[pledged]]/Table2[[#This Row],[goal]]</f>
        <v>228.85714285714286</v>
      </c>
      <c r="G749" t="s">
        <v>20</v>
      </c>
      <c r="H749">
        <v>280</v>
      </c>
      <c r="I749" s="4">
        <f>IF(Table2[[#This Row],[pledged]]&gt;0,Table2[[#This Row],[pledged]]/Table2[[#This Row],[backers_count]],0)</f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8">
        <f t="shared" si="22"/>
        <v>40423.208333333336</v>
      </c>
      <c r="O749" s="8">
        <f t="shared" si="23"/>
        <v>40434.208333333336</v>
      </c>
      <c r="P749" s="5">
        <f>_xlfn.DAYS(Table2[[#This Row],[Date Ended Conversion]],Table2[[#This Row],[Date Created Conversion]])+1</f>
        <v>12</v>
      </c>
      <c r="Q749" t="b">
        <v>0</v>
      </c>
      <c r="R749" t="b">
        <v>0</v>
      </c>
      <c r="S749" t="s">
        <v>33</v>
      </c>
      <c r="T749" t="str">
        <f>_xlfn.TEXTBEFORE(Table2[[#This Row],[category &amp; sub-category]],"/")</f>
        <v>theater</v>
      </c>
      <c r="U749" t="str">
        <f>_xlfn.TEXTAFTER(Table2[[#This Row],[category &amp; sub-category]],"/")</f>
        <v>plays</v>
      </c>
    </row>
    <row r="750" spans="1:21" ht="17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5">
        <f>100*Table2[[#This Row],[pledged]]/Table2[[#This Row],[goal]]</f>
        <v>34.959979476654695</v>
      </c>
      <c r="G750" t="s">
        <v>74</v>
      </c>
      <c r="H750">
        <v>614</v>
      </c>
      <c r="I750" s="4">
        <f>IF(Table2[[#This Row],[pledged]]&gt;0,Table2[[#This Row],[pledged]]/Table2[[#This Row],[backers_count]],0)</f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8">
        <f t="shared" si="22"/>
        <v>40238.25</v>
      </c>
      <c r="O750" s="8">
        <f t="shared" si="23"/>
        <v>40263.208333333336</v>
      </c>
      <c r="P750" s="5">
        <f>_xlfn.DAYS(Table2[[#This Row],[Date Ended Conversion]],Table2[[#This Row],[Date Created Conversion]])+1</f>
        <v>26</v>
      </c>
      <c r="Q750" t="b">
        <v>0</v>
      </c>
      <c r="R750" t="b">
        <v>1</v>
      </c>
      <c r="S750" t="s">
        <v>71</v>
      </c>
      <c r="T750" t="str">
        <f>_xlfn.TEXTBEFORE(Table2[[#This Row],[category &amp; sub-category]],"/")</f>
        <v>film &amp; video</v>
      </c>
      <c r="U750" t="str">
        <f>_xlfn.TEXTAFTER(Table2[[#This Row],[category &amp; sub-category]],"/")</f>
        <v>animation</v>
      </c>
    </row>
    <row r="751" spans="1:21" ht="17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5">
        <f>100*Table2[[#This Row],[pledged]]/Table2[[#This Row],[goal]]</f>
        <v>157.2906976744186</v>
      </c>
      <c r="G751" t="s">
        <v>20</v>
      </c>
      <c r="H751">
        <v>366</v>
      </c>
      <c r="I751" s="4">
        <f>IF(Table2[[#This Row],[pledged]]&gt;0,Table2[[#This Row],[pledged]]/Table2[[#This Row],[backers_count]],0)</f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8">
        <f t="shared" si="22"/>
        <v>41920.208333333336</v>
      </c>
      <c r="O751" s="8">
        <f t="shared" si="23"/>
        <v>41932.208333333336</v>
      </c>
      <c r="P751" s="5">
        <f>_xlfn.DAYS(Table2[[#This Row],[Date Ended Conversion]],Table2[[#This Row],[Date Created Conversion]])+1</f>
        <v>13</v>
      </c>
      <c r="Q751" t="b">
        <v>0</v>
      </c>
      <c r="R751" t="b">
        <v>1</v>
      </c>
      <c r="S751" t="s">
        <v>65</v>
      </c>
      <c r="T751" t="str">
        <f>_xlfn.TEXTBEFORE(Table2[[#This Row],[category &amp; sub-category]],"/")</f>
        <v>technology</v>
      </c>
      <c r="U751" t="str">
        <f>_xlfn.TEXTAFTER(Table2[[#This Row],[category &amp; sub-category]],"/")</f>
        <v>wearables</v>
      </c>
    </row>
    <row r="752" spans="1:21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5">
        <f>100*Table2[[#This Row],[pledged]]/Table2[[#This Row],[goal]]</f>
        <v>1</v>
      </c>
      <c r="G752" t="s">
        <v>14</v>
      </c>
      <c r="H752">
        <v>1</v>
      </c>
      <c r="I752" s="4">
        <f>IF(Table2[[#This Row],[pledged]]&gt;0,Table2[[#This Row],[pledged]]/Table2[[#This Row],[backers_count]],0)</f>
        <v>1</v>
      </c>
      <c r="J752" t="s">
        <v>40</v>
      </c>
      <c r="K752" t="s">
        <v>41</v>
      </c>
      <c r="L752">
        <v>1277960400</v>
      </c>
      <c r="M752">
        <v>1280120400</v>
      </c>
      <c r="N752" s="8">
        <f t="shared" si="22"/>
        <v>40360.208333333336</v>
      </c>
      <c r="O752" s="8">
        <f t="shared" si="23"/>
        <v>40385.208333333336</v>
      </c>
      <c r="P752" s="5">
        <f>_xlfn.DAYS(Table2[[#This Row],[Date Ended Conversion]],Table2[[#This Row],[Date Created Conversion]])+1</f>
        <v>26</v>
      </c>
      <c r="Q752" t="b">
        <v>0</v>
      </c>
      <c r="R752" t="b">
        <v>0</v>
      </c>
      <c r="S752" t="s">
        <v>50</v>
      </c>
      <c r="T752" t="str">
        <f>_xlfn.TEXTBEFORE(Table2[[#This Row],[category &amp; sub-category]],"/")</f>
        <v>music</v>
      </c>
      <c r="U752" t="str">
        <f>_xlfn.TEXTAFTER(Table2[[#This Row],[category &amp; sub-category]],"/")</f>
        <v>electric music</v>
      </c>
    </row>
    <row r="753" spans="1:21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5">
        <f>100*Table2[[#This Row],[pledged]]/Table2[[#This Row],[goal]]</f>
        <v>232.30555555555554</v>
      </c>
      <c r="G753" t="s">
        <v>20</v>
      </c>
      <c r="H753">
        <v>270</v>
      </c>
      <c r="I753" s="4">
        <f>IF(Table2[[#This Row],[pledged]]&gt;0,Table2[[#This Row],[pledged]]/Table2[[#This Row],[backers_count]],0)</f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8">
        <f t="shared" si="22"/>
        <v>42446.208333333328</v>
      </c>
      <c r="O753" s="8">
        <f t="shared" si="23"/>
        <v>42461.208333333328</v>
      </c>
      <c r="P753" s="5">
        <f>_xlfn.DAYS(Table2[[#This Row],[Date Ended Conversion]],Table2[[#This Row],[Date Created Conversion]])+1</f>
        <v>16</v>
      </c>
      <c r="Q753" t="b">
        <v>1</v>
      </c>
      <c r="R753" t="b">
        <v>1</v>
      </c>
      <c r="S753" t="s">
        <v>68</v>
      </c>
      <c r="T753" t="str">
        <f>_xlfn.TEXTBEFORE(Table2[[#This Row],[category &amp; sub-category]],"/")</f>
        <v>publishing</v>
      </c>
      <c r="U753" t="str">
        <f>_xlfn.TEXTAFTER(Table2[[#This Row],[category &amp; sub-category]],"/")</f>
        <v>nonfiction</v>
      </c>
    </row>
    <row r="754" spans="1:21" ht="17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5">
        <f>100*Table2[[#This Row],[pledged]]/Table2[[#This Row],[goal]]</f>
        <v>92.448275862068968</v>
      </c>
      <c r="G754" t="s">
        <v>74</v>
      </c>
      <c r="H754">
        <v>114</v>
      </c>
      <c r="I754" s="4">
        <f>IF(Table2[[#This Row],[pledged]]&gt;0,Table2[[#This Row],[pledged]]/Table2[[#This Row],[backers_count]],0)</f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8">
        <f t="shared" si="22"/>
        <v>40395.208333333336</v>
      </c>
      <c r="O754" s="8">
        <f t="shared" si="23"/>
        <v>40413.208333333336</v>
      </c>
      <c r="P754" s="5">
        <f>_xlfn.DAYS(Table2[[#This Row],[Date Ended Conversion]],Table2[[#This Row],[Date Created Conversion]])+1</f>
        <v>19</v>
      </c>
      <c r="Q754" t="b">
        <v>0</v>
      </c>
      <c r="R754" t="b">
        <v>1</v>
      </c>
      <c r="S754" t="s">
        <v>33</v>
      </c>
      <c r="T754" t="str">
        <f>_xlfn.TEXTBEFORE(Table2[[#This Row],[category &amp; sub-category]],"/")</f>
        <v>theater</v>
      </c>
      <c r="U754" t="str">
        <f>_xlfn.TEXTAFTER(Table2[[#This Row],[category &amp; sub-category]],"/")</f>
        <v>plays</v>
      </c>
    </row>
    <row r="755" spans="1:21" ht="17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5">
        <f>100*Table2[[#This Row],[pledged]]/Table2[[#This Row],[goal]]</f>
        <v>256.70212765957444</v>
      </c>
      <c r="G755" t="s">
        <v>20</v>
      </c>
      <c r="H755">
        <v>137</v>
      </c>
      <c r="I755" s="4">
        <f>IF(Table2[[#This Row],[pledged]]&gt;0,Table2[[#This Row],[pledged]]/Table2[[#This Row],[backers_count]],0)</f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8">
        <f t="shared" si="22"/>
        <v>40321.208333333336</v>
      </c>
      <c r="O755" s="8">
        <f t="shared" si="23"/>
        <v>40336.208333333336</v>
      </c>
      <c r="P755" s="5">
        <f>_xlfn.DAYS(Table2[[#This Row],[Date Ended Conversion]],Table2[[#This Row],[Date Created Conversion]])+1</f>
        <v>16</v>
      </c>
      <c r="Q755" t="b">
        <v>0</v>
      </c>
      <c r="R755" t="b">
        <v>0</v>
      </c>
      <c r="S755" t="s">
        <v>122</v>
      </c>
      <c r="T755" t="str">
        <f>_xlfn.TEXTBEFORE(Table2[[#This Row],[category &amp; sub-category]],"/")</f>
        <v>photography</v>
      </c>
      <c r="U755" t="str">
        <f>_xlfn.TEXTAFTER(Table2[[#This Row],[category &amp; sub-category]],"/")</f>
        <v>photography books</v>
      </c>
    </row>
    <row r="756" spans="1:21" ht="17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5">
        <f>100*Table2[[#This Row],[pledged]]/Table2[[#This Row],[goal]]</f>
        <v>168.47017045454547</v>
      </c>
      <c r="G756" t="s">
        <v>20</v>
      </c>
      <c r="H756">
        <v>3205</v>
      </c>
      <c r="I756" s="4">
        <f>IF(Table2[[#This Row],[pledged]]&gt;0,Table2[[#This Row],[pledged]]/Table2[[#This Row],[backers_count]],0)</f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8">
        <f t="shared" si="22"/>
        <v>41210.208333333336</v>
      </c>
      <c r="O756" s="8">
        <f t="shared" si="23"/>
        <v>41263.25</v>
      </c>
      <c r="P756" s="5">
        <f>_xlfn.DAYS(Table2[[#This Row],[Date Ended Conversion]],Table2[[#This Row],[Date Created Conversion]])+1</f>
        <v>54</v>
      </c>
      <c r="Q756" t="b">
        <v>0</v>
      </c>
      <c r="R756" t="b">
        <v>0</v>
      </c>
      <c r="S756" t="s">
        <v>33</v>
      </c>
      <c r="T756" t="str">
        <f>_xlfn.TEXTBEFORE(Table2[[#This Row],[category &amp; sub-category]],"/")</f>
        <v>theater</v>
      </c>
      <c r="U756" t="str">
        <f>_xlfn.TEXTAFTER(Table2[[#This Row],[category &amp; sub-category]],"/")</f>
        <v>plays</v>
      </c>
    </row>
    <row r="757" spans="1:21" ht="17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5">
        <f>100*Table2[[#This Row],[pledged]]/Table2[[#This Row],[goal]]</f>
        <v>166.57777777777778</v>
      </c>
      <c r="G757" t="s">
        <v>20</v>
      </c>
      <c r="H757">
        <v>288</v>
      </c>
      <c r="I757" s="4">
        <f>IF(Table2[[#This Row],[pledged]]&gt;0,Table2[[#This Row],[pledged]]/Table2[[#This Row],[backers_count]],0)</f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8">
        <f t="shared" si="22"/>
        <v>43096.25</v>
      </c>
      <c r="O757" s="8">
        <f t="shared" si="23"/>
        <v>43108.25</v>
      </c>
      <c r="P757" s="5">
        <f>_xlfn.DAYS(Table2[[#This Row],[Date Ended Conversion]],Table2[[#This Row],[Date Created Conversion]])+1</f>
        <v>13</v>
      </c>
      <c r="Q757" t="b">
        <v>0</v>
      </c>
      <c r="R757" t="b">
        <v>1</v>
      </c>
      <c r="S757" t="s">
        <v>33</v>
      </c>
      <c r="T757" t="str">
        <f>_xlfn.TEXTBEFORE(Table2[[#This Row],[category &amp; sub-category]],"/")</f>
        <v>theater</v>
      </c>
      <c r="U757" t="str">
        <f>_xlfn.TEXTAFTER(Table2[[#This Row],[category &amp; sub-category]],"/")</f>
        <v>plays</v>
      </c>
    </row>
    <row r="758" spans="1:21" ht="34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5">
        <f>100*Table2[[#This Row],[pledged]]/Table2[[#This Row],[goal]]</f>
        <v>772.07692307692309</v>
      </c>
      <c r="G758" t="s">
        <v>20</v>
      </c>
      <c r="H758">
        <v>148</v>
      </c>
      <c r="I758" s="4">
        <f>IF(Table2[[#This Row],[pledged]]&gt;0,Table2[[#This Row],[pledged]]/Table2[[#This Row],[backers_count]],0)</f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8">
        <f t="shared" si="22"/>
        <v>42024.25</v>
      </c>
      <c r="O758" s="8">
        <f t="shared" si="23"/>
        <v>42030.25</v>
      </c>
      <c r="P758" s="5">
        <f>_xlfn.DAYS(Table2[[#This Row],[Date Ended Conversion]],Table2[[#This Row],[Date Created Conversion]])+1</f>
        <v>7</v>
      </c>
      <c r="Q758" t="b">
        <v>0</v>
      </c>
      <c r="R758" t="b">
        <v>0</v>
      </c>
      <c r="S758" t="s">
        <v>33</v>
      </c>
      <c r="T758" t="str">
        <f>_xlfn.TEXTBEFORE(Table2[[#This Row],[category &amp; sub-category]],"/")</f>
        <v>theater</v>
      </c>
      <c r="U758" t="str">
        <f>_xlfn.TEXTAFTER(Table2[[#This Row],[category &amp; sub-category]],"/")</f>
        <v>plays</v>
      </c>
    </row>
    <row r="759" spans="1:21" ht="17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5">
        <f>100*Table2[[#This Row],[pledged]]/Table2[[#This Row],[goal]]</f>
        <v>406.85714285714283</v>
      </c>
      <c r="G759" t="s">
        <v>20</v>
      </c>
      <c r="H759">
        <v>114</v>
      </c>
      <c r="I759" s="4">
        <f>IF(Table2[[#This Row],[pledged]]&gt;0,Table2[[#This Row],[pledged]]/Table2[[#This Row],[backers_count]],0)</f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8">
        <f t="shared" si="22"/>
        <v>40675.208333333336</v>
      </c>
      <c r="O759" s="8">
        <f t="shared" si="23"/>
        <v>40679.208333333336</v>
      </c>
      <c r="P759" s="5">
        <f>_xlfn.DAYS(Table2[[#This Row],[Date Ended Conversion]],Table2[[#This Row],[Date Created Conversion]])+1</f>
        <v>5</v>
      </c>
      <c r="Q759" t="b">
        <v>0</v>
      </c>
      <c r="R759" t="b">
        <v>0</v>
      </c>
      <c r="S759" t="s">
        <v>53</v>
      </c>
      <c r="T759" t="str">
        <f>_xlfn.TEXTBEFORE(Table2[[#This Row],[category &amp; sub-category]],"/")</f>
        <v>film &amp; video</v>
      </c>
      <c r="U759" t="str">
        <f>_xlfn.TEXTAFTER(Table2[[#This Row],[category &amp; sub-category]],"/")</f>
        <v>drama</v>
      </c>
    </row>
    <row r="760" spans="1:21" ht="17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5">
        <f>100*Table2[[#This Row],[pledged]]/Table2[[#This Row],[goal]]</f>
        <v>564.20608108108104</v>
      </c>
      <c r="G760" t="s">
        <v>20</v>
      </c>
      <c r="H760">
        <v>1518</v>
      </c>
      <c r="I760" s="4">
        <f>IF(Table2[[#This Row],[pledged]]&gt;0,Table2[[#This Row],[pledged]]/Table2[[#This Row],[backers_count]],0)</f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8">
        <f t="shared" si="22"/>
        <v>41936.208333333336</v>
      </c>
      <c r="O760" s="8">
        <f t="shared" si="23"/>
        <v>41945.208333333336</v>
      </c>
      <c r="P760" s="5">
        <f>_xlfn.DAYS(Table2[[#This Row],[Date Ended Conversion]],Table2[[#This Row],[Date Created Conversion]])+1</f>
        <v>10</v>
      </c>
      <c r="Q760" t="b">
        <v>0</v>
      </c>
      <c r="R760" t="b">
        <v>0</v>
      </c>
      <c r="S760" t="s">
        <v>23</v>
      </c>
      <c r="T760" t="str">
        <f>_xlfn.TEXTBEFORE(Table2[[#This Row],[category &amp; sub-category]],"/")</f>
        <v>music</v>
      </c>
      <c r="U760" t="str">
        <f>_xlfn.TEXTAFTER(Table2[[#This Row],[category &amp; sub-category]],"/")</f>
        <v>rock</v>
      </c>
    </row>
    <row r="761" spans="1:21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5">
        <f>100*Table2[[#This Row],[pledged]]/Table2[[#This Row],[goal]]</f>
        <v>68.426865671641792</v>
      </c>
      <c r="G761" t="s">
        <v>14</v>
      </c>
      <c r="H761">
        <v>1274</v>
      </c>
      <c r="I761" s="4">
        <f>IF(Table2[[#This Row],[pledged]]&gt;0,Table2[[#This Row],[pledged]]/Table2[[#This Row],[backers_count]],0)</f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8">
        <f t="shared" si="22"/>
        <v>43136.25</v>
      </c>
      <c r="O761" s="8">
        <f t="shared" si="23"/>
        <v>43166.25</v>
      </c>
      <c r="P761" s="5">
        <f>_xlfn.DAYS(Table2[[#This Row],[Date Ended Conversion]],Table2[[#This Row],[Date Created Conversion]])+1</f>
        <v>31</v>
      </c>
      <c r="Q761" t="b">
        <v>0</v>
      </c>
      <c r="R761" t="b">
        <v>0</v>
      </c>
      <c r="S761" t="s">
        <v>50</v>
      </c>
      <c r="T761" t="str">
        <f>_xlfn.TEXTBEFORE(Table2[[#This Row],[category &amp; sub-category]],"/")</f>
        <v>music</v>
      </c>
      <c r="U761" t="str">
        <f>_xlfn.TEXTAFTER(Table2[[#This Row],[category &amp; sub-category]],"/")</f>
        <v>electric music</v>
      </c>
    </row>
    <row r="762" spans="1:21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5">
        <f>100*Table2[[#This Row],[pledged]]/Table2[[#This Row],[goal]]</f>
        <v>34.351966873706004</v>
      </c>
      <c r="G762" t="s">
        <v>14</v>
      </c>
      <c r="H762">
        <v>210</v>
      </c>
      <c r="I762" s="4">
        <f>IF(Table2[[#This Row],[pledged]]&gt;0,Table2[[#This Row],[pledged]]/Table2[[#This Row],[backers_count]],0)</f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8">
        <f t="shared" si="22"/>
        <v>43678.208333333328</v>
      </c>
      <c r="O762" s="8">
        <f t="shared" si="23"/>
        <v>43707.208333333328</v>
      </c>
      <c r="P762" s="5">
        <f>_xlfn.DAYS(Table2[[#This Row],[Date Ended Conversion]],Table2[[#This Row],[Date Created Conversion]])+1</f>
        <v>30</v>
      </c>
      <c r="Q762" t="b">
        <v>0</v>
      </c>
      <c r="R762" t="b">
        <v>1</v>
      </c>
      <c r="S762" t="s">
        <v>89</v>
      </c>
      <c r="T762" t="str">
        <f>_xlfn.TEXTBEFORE(Table2[[#This Row],[category &amp; sub-category]],"/")</f>
        <v>games</v>
      </c>
      <c r="U762" t="str">
        <f>_xlfn.TEXTAFTER(Table2[[#This Row],[category &amp; sub-category]],"/")</f>
        <v>video games</v>
      </c>
    </row>
    <row r="763" spans="1:21" ht="17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5">
        <f>100*Table2[[#This Row],[pledged]]/Table2[[#This Row],[goal]]</f>
        <v>655.4545454545455</v>
      </c>
      <c r="G763" t="s">
        <v>20</v>
      </c>
      <c r="H763">
        <v>166</v>
      </c>
      <c r="I763" s="4">
        <f>IF(Table2[[#This Row],[pledged]]&gt;0,Table2[[#This Row],[pledged]]/Table2[[#This Row],[backers_count]],0)</f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8">
        <f t="shared" si="22"/>
        <v>42938.208333333328</v>
      </c>
      <c r="O763" s="8">
        <f t="shared" si="23"/>
        <v>42943.208333333328</v>
      </c>
      <c r="P763" s="5">
        <f>_xlfn.DAYS(Table2[[#This Row],[Date Ended Conversion]],Table2[[#This Row],[Date Created Conversion]])+1</f>
        <v>6</v>
      </c>
      <c r="Q763" t="b">
        <v>0</v>
      </c>
      <c r="R763" t="b">
        <v>0</v>
      </c>
      <c r="S763" t="s">
        <v>23</v>
      </c>
      <c r="T763" t="str">
        <f>_xlfn.TEXTBEFORE(Table2[[#This Row],[category &amp; sub-category]],"/")</f>
        <v>music</v>
      </c>
      <c r="U763" t="str">
        <f>_xlfn.TEXTAFTER(Table2[[#This Row],[category &amp; sub-category]],"/")</f>
        <v>rock</v>
      </c>
    </row>
    <row r="764" spans="1:21" ht="17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5">
        <f>100*Table2[[#This Row],[pledged]]/Table2[[#This Row],[goal]]</f>
        <v>177.25714285714287</v>
      </c>
      <c r="G764" t="s">
        <v>20</v>
      </c>
      <c r="H764">
        <v>100</v>
      </c>
      <c r="I764" s="4">
        <f>IF(Table2[[#This Row],[pledged]]&gt;0,Table2[[#This Row],[pledged]]/Table2[[#This Row],[backers_count]],0)</f>
        <v>62.04</v>
      </c>
      <c r="J764" t="s">
        <v>26</v>
      </c>
      <c r="K764" t="s">
        <v>27</v>
      </c>
      <c r="L764">
        <v>1354082400</v>
      </c>
      <c r="M764">
        <v>1355032800</v>
      </c>
      <c r="N764" s="8">
        <f t="shared" si="22"/>
        <v>41241.25</v>
      </c>
      <c r="O764" s="8">
        <f t="shared" si="23"/>
        <v>41252.25</v>
      </c>
      <c r="P764" s="5">
        <f>_xlfn.DAYS(Table2[[#This Row],[Date Ended Conversion]],Table2[[#This Row],[Date Created Conversion]])+1</f>
        <v>12</v>
      </c>
      <c r="Q764" t="b">
        <v>0</v>
      </c>
      <c r="R764" t="b">
        <v>0</v>
      </c>
      <c r="S764" t="s">
        <v>159</v>
      </c>
      <c r="T764" t="str">
        <f>_xlfn.TEXTBEFORE(Table2[[#This Row],[category &amp; sub-category]],"/")</f>
        <v>music</v>
      </c>
      <c r="U764" t="str">
        <f>_xlfn.TEXTAFTER(Table2[[#This Row],[category &amp; sub-category]],"/")</f>
        <v>jazz</v>
      </c>
    </row>
    <row r="765" spans="1:21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5">
        <f>100*Table2[[#This Row],[pledged]]/Table2[[#This Row],[goal]]</f>
        <v>113.17857142857143</v>
      </c>
      <c r="G765" t="s">
        <v>20</v>
      </c>
      <c r="H765">
        <v>235</v>
      </c>
      <c r="I765" s="4">
        <f>IF(Table2[[#This Row],[pledged]]&gt;0,Table2[[#This Row],[pledged]]/Table2[[#This Row],[backers_count]],0)</f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8">
        <f t="shared" si="22"/>
        <v>41037.208333333336</v>
      </c>
      <c r="O765" s="8">
        <f t="shared" si="23"/>
        <v>41072.208333333336</v>
      </c>
      <c r="P765" s="5">
        <f>_xlfn.DAYS(Table2[[#This Row],[Date Ended Conversion]],Table2[[#This Row],[Date Created Conversion]])+1</f>
        <v>36</v>
      </c>
      <c r="Q765" t="b">
        <v>0</v>
      </c>
      <c r="R765" t="b">
        <v>1</v>
      </c>
      <c r="S765" t="s">
        <v>33</v>
      </c>
      <c r="T765" t="str">
        <f>_xlfn.TEXTBEFORE(Table2[[#This Row],[category &amp; sub-category]],"/")</f>
        <v>theater</v>
      </c>
      <c r="U765" t="str">
        <f>_xlfn.TEXTAFTER(Table2[[#This Row],[category &amp; sub-category]],"/")</f>
        <v>plays</v>
      </c>
    </row>
    <row r="766" spans="1:21" ht="34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5">
        <f>100*Table2[[#This Row],[pledged]]/Table2[[#This Row],[goal]]</f>
        <v>728.18181818181813</v>
      </c>
      <c r="G766" t="s">
        <v>20</v>
      </c>
      <c r="H766">
        <v>148</v>
      </c>
      <c r="I766" s="4">
        <f>IF(Table2[[#This Row],[pledged]]&gt;0,Table2[[#This Row],[pledged]]/Table2[[#This Row],[backers_count]],0)</f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8">
        <f t="shared" si="22"/>
        <v>40676.208333333336</v>
      </c>
      <c r="O766" s="8">
        <f t="shared" si="23"/>
        <v>40684.208333333336</v>
      </c>
      <c r="P766" s="5">
        <f>_xlfn.DAYS(Table2[[#This Row],[Date Ended Conversion]],Table2[[#This Row],[Date Created Conversion]])+1</f>
        <v>9</v>
      </c>
      <c r="Q766" t="b">
        <v>0</v>
      </c>
      <c r="R766" t="b">
        <v>0</v>
      </c>
      <c r="S766" t="s">
        <v>23</v>
      </c>
      <c r="T766" t="str">
        <f>_xlfn.TEXTBEFORE(Table2[[#This Row],[category &amp; sub-category]],"/")</f>
        <v>music</v>
      </c>
      <c r="U766" t="str">
        <f>_xlfn.TEXTAFTER(Table2[[#This Row],[category &amp; sub-category]],"/")</f>
        <v>rock</v>
      </c>
    </row>
    <row r="767" spans="1:21" ht="17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5">
        <f>100*Table2[[#This Row],[pledged]]/Table2[[#This Row],[goal]]</f>
        <v>208.33333333333334</v>
      </c>
      <c r="G767" t="s">
        <v>20</v>
      </c>
      <c r="H767">
        <v>198</v>
      </c>
      <c r="I767" s="4">
        <f>IF(Table2[[#This Row],[pledged]]&gt;0,Table2[[#This Row],[pledged]]/Table2[[#This Row],[backers_count]],0)</f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8">
        <f t="shared" si="22"/>
        <v>42840.208333333328</v>
      </c>
      <c r="O767" s="8">
        <f t="shared" si="23"/>
        <v>42865.208333333328</v>
      </c>
      <c r="P767" s="5">
        <f>_xlfn.DAYS(Table2[[#This Row],[Date Ended Conversion]],Table2[[#This Row],[Date Created Conversion]])+1</f>
        <v>26</v>
      </c>
      <c r="Q767" t="b">
        <v>1</v>
      </c>
      <c r="R767" t="b">
        <v>1</v>
      </c>
      <c r="S767" t="s">
        <v>60</v>
      </c>
      <c r="T767" t="str">
        <f>_xlfn.TEXTBEFORE(Table2[[#This Row],[category &amp; sub-category]],"/")</f>
        <v>music</v>
      </c>
      <c r="U767" t="str">
        <f>_xlfn.TEXTAFTER(Table2[[#This Row],[category &amp; sub-category]],"/")</f>
        <v>indie rock</v>
      </c>
    </row>
    <row r="768" spans="1:21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5">
        <f>100*Table2[[#This Row],[pledged]]/Table2[[#This Row],[goal]]</f>
        <v>31.171232876712327</v>
      </c>
      <c r="G768" t="s">
        <v>14</v>
      </c>
      <c r="H768">
        <v>248</v>
      </c>
      <c r="I768" s="4">
        <f>IF(Table2[[#This Row],[pledged]]&gt;0,Table2[[#This Row],[pledged]]/Table2[[#This Row],[backers_count]],0)</f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8">
        <f t="shared" si="22"/>
        <v>43362.208333333328</v>
      </c>
      <c r="O768" s="8">
        <f t="shared" si="23"/>
        <v>43363.208333333328</v>
      </c>
      <c r="P768" s="5">
        <f>_xlfn.DAYS(Table2[[#This Row],[Date Ended Conversion]],Table2[[#This Row],[Date Created Conversion]])+1</f>
        <v>2</v>
      </c>
      <c r="Q768" t="b">
        <v>0</v>
      </c>
      <c r="R768" t="b">
        <v>0</v>
      </c>
      <c r="S768" t="s">
        <v>474</v>
      </c>
      <c r="T768" t="str">
        <f>_xlfn.TEXTBEFORE(Table2[[#This Row],[category &amp; sub-category]],"/")</f>
        <v>film &amp; video</v>
      </c>
      <c r="U768" t="str">
        <f>_xlfn.TEXTAFTER(Table2[[#This Row],[category &amp; sub-category]],"/")</f>
        <v>science fiction</v>
      </c>
    </row>
    <row r="769" spans="1:21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5">
        <f>100*Table2[[#This Row],[pledged]]/Table2[[#This Row],[goal]]</f>
        <v>56.967078189300409</v>
      </c>
      <c r="G769" t="s">
        <v>14</v>
      </c>
      <c r="H769">
        <v>513</v>
      </c>
      <c r="I769" s="4">
        <f>IF(Table2[[#This Row],[pledged]]&gt;0,Table2[[#This Row],[pledged]]/Table2[[#This Row],[backers_count]],0)</f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8">
        <f t="shared" si="22"/>
        <v>42283.208333333328</v>
      </c>
      <c r="O769" s="8">
        <f t="shared" si="23"/>
        <v>42328.25</v>
      </c>
      <c r="P769" s="5">
        <f>_xlfn.DAYS(Table2[[#This Row],[Date Ended Conversion]],Table2[[#This Row],[Date Created Conversion]])+1</f>
        <v>46</v>
      </c>
      <c r="Q769" t="b">
        <v>0</v>
      </c>
      <c r="R769" t="b">
        <v>0</v>
      </c>
      <c r="S769" t="s">
        <v>206</v>
      </c>
      <c r="T769" t="str">
        <f>_xlfn.TEXTBEFORE(Table2[[#This Row],[category &amp; sub-category]],"/")</f>
        <v>publishing</v>
      </c>
      <c r="U769" t="str">
        <f>_xlfn.TEXTAFTER(Table2[[#This Row],[category &amp; sub-category]],"/")</f>
        <v>translations</v>
      </c>
    </row>
    <row r="770" spans="1:21" ht="17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5">
        <f>100*Table2[[#This Row],[pledged]]/Table2[[#This Row],[goal]]</f>
        <v>231</v>
      </c>
      <c r="G770" t="s">
        <v>20</v>
      </c>
      <c r="H770">
        <v>150</v>
      </c>
      <c r="I770" s="4">
        <f>IF(Table2[[#This Row],[pledged]]&gt;0,Table2[[#This Row],[pledged]]/Table2[[#This Row],[backers_count]],0)</f>
        <v>73.92</v>
      </c>
      <c r="J770" t="s">
        <v>21</v>
      </c>
      <c r="K770" t="s">
        <v>22</v>
      </c>
      <c r="L770">
        <v>1386741600</v>
      </c>
      <c r="M770">
        <v>1388037600</v>
      </c>
      <c r="N770" s="8">
        <f t="shared" ref="N770:N833" si="24">(((L770/60)/60)/24)+DATE(1970,1,1)</f>
        <v>41619.25</v>
      </c>
      <c r="O770" s="8">
        <f t="shared" ref="O770:O833" si="25">(((M770/60)/60)/24)+DATE(1970,1,1)</f>
        <v>41634.25</v>
      </c>
      <c r="P770" s="5">
        <f>_xlfn.DAYS(Table2[[#This Row],[Date Ended Conversion]],Table2[[#This Row],[Date Created Conversion]])+1</f>
        <v>16</v>
      </c>
      <c r="Q770" t="b">
        <v>0</v>
      </c>
      <c r="R770" t="b">
        <v>0</v>
      </c>
      <c r="S770" t="s">
        <v>33</v>
      </c>
      <c r="T770" t="str">
        <f>_xlfn.TEXTBEFORE(Table2[[#This Row],[category &amp; sub-category]],"/")</f>
        <v>theater</v>
      </c>
      <c r="U770" t="str">
        <f>_xlfn.TEXTAFTER(Table2[[#This Row],[category &amp; sub-category]],"/")</f>
        <v>plays</v>
      </c>
    </row>
    <row r="771" spans="1:21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5">
        <f>100*Table2[[#This Row],[pledged]]/Table2[[#This Row],[goal]]</f>
        <v>86.867834394904463</v>
      </c>
      <c r="G771" t="s">
        <v>14</v>
      </c>
      <c r="H771">
        <v>3410</v>
      </c>
      <c r="I771" s="4">
        <f>IF(Table2[[#This Row],[pledged]]&gt;0,Table2[[#This Row],[pledged]]/Table2[[#This Row],[backers_count]],0)</f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8">
        <f t="shared" si="24"/>
        <v>41501.208333333336</v>
      </c>
      <c r="O771" s="8">
        <f t="shared" si="25"/>
        <v>41527.208333333336</v>
      </c>
      <c r="P771" s="5">
        <f>_xlfn.DAYS(Table2[[#This Row],[Date Ended Conversion]],Table2[[#This Row],[Date Created Conversion]])+1</f>
        <v>27</v>
      </c>
      <c r="Q771" t="b">
        <v>0</v>
      </c>
      <c r="R771" t="b">
        <v>0</v>
      </c>
      <c r="S771" t="s">
        <v>89</v>
      </c>
      <c r="T771" t="str">
        <f>_xlfn.TEXTBEFORE(Table2[[#This Row],[category &amp; sub-category]],"/")</f>
        <v>games</v>
      </c>
      <c r="U771" t="str">
        <f>_xlfn.TEXTAFTER(Table2[[#This Row],[category &amp; sub-category]],"/")</f>
        <v>video games</v>
      </c>
    </row>
    <row r="772" spans="1:21" ht="17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5">
        <f>100*Table2[[#This Row],[pledged]]/Table2[[#This Row],[goal]]</f>
        <v>270.74418604651163</v>
      </c>
      <c r="G772" t="s">
        <v>20</v>
      </c>
      <c r="H772">
        <v>216</v>
      </c>
      <c r="I772" s="4">
        <f>IF(Table2[[#This Row],[pledged]]&gt;0,Table2[[#This Row],[pledged]]/Table2[[#This Row],[backers_count]],0)</f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8">
        <f t="shared" si="24"/>
        <v>41743.208333333336</v>
      </c>
      <c r="O772" s="8">
        <f t="shared" si="25"/>
        <v>41750.208333333336</v>
      </c>
      <c r="P772" s="5">
        <f>_xlfn.DAYS(Table2[[#This Row],[Date Ended Conversion]],Table2[[#This Row],[Date Created Conversion]])+1</f>
        <v>8</v>
      </c>
      <c r="Q772" t="b">
        <v>0</v>
      </c>
      <c r="R772" t="b">
        <v>1</v>
      </c>
      <c r="S772" t="s">
        <v>33</v>
      </c>
      <c r="T772" t="str">
        <f>_xlfn.TEXTBEFORE(Table2[[#This Row],[category &amp; sub-category]],"/")</f>
        <v>theater</v>
      </c>
      <c r="U772" t="str">
        <f>_xlfn.TEXTAFTER(Table2[[#This Row],[category &amp; sub-category]],"/")</f>
        <v>plays</v>
      </c>
    </row>
    <row r="773" spans="1:21" ht="17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5">
        <f>100*Table2[[#This Row],[pledged]]/Table2[[#This Row],[goal]]</f>
        <v>49.446428571428569</v>
      </c>
      <c r="G773" t="s">
        <v>74</v>
      </c>
      <c r="H773">
        <v>26</v>
      </c>
      <c r="I773" s="4">
        <f>IF(Table2[[#This Row],[pledged]]&gt;0,Table2[[#This Row],[pledged]]/Table2[[#This Row],[backers_count]],0)</f>
        <v>106.5</v>
      </c>
      <c r="J773" t="s">
        <v>21</v>
      </c>
      <c r="K773" t="s">
        <v>22</v>
      </c>
      <c r="L773">
        <v>1548482400</v>
      </c>
      <c r="M773">
        <v>1550815200</v>
      </c>
      <c r="N773" s="8">
        <f t="shared" si="24"/>
        <v>43491.25</v>
      </c>
      <c r="O773" s="8">
        <f t="shared" si="25"/>
        <v>43518.25</v>
      </c>
      <c r="P773" s="5">
        <f>_xlfn.DAYS(Table2[[#This Row],[Date Ended Conversion]],Table2[[#This Row],[Date Created Conversion]])+1</f>
        <v>28</v>
      </c>
      <c r="Q773" t="b">
        <v>0</v>
      </c>
      <c r="R773" t="b">
        <v>0</v>
      </c>
      <c r="S773" t="s">
        <v>33</v>
      </c>
      <c r="T773" t="str">
        <f>_xlfn.TEXTBEFORE(Table2[[#This Row],[category &amp; sub-category]],"/")</f>
        <v>theater</v>
      </c>
      <c r="U773" t="str">
        <f>_xlfn.TEXTAFTER(Table2[[#This Row],[category &amp; sub-category]],"/")</f>
        <v>plays</v>
      </c>
    </row>
    <row r="774" spans="1:21" ht="17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5">
        <f>100*Table2[[#This Row],[pledged]]/Table2[[#This Row],[goal]]</f>
        <v>113.3596256684492</v>
      </c>
      <c r="G774" t="s">
        <v>20</v>
      </c>
      <c r="H774">
        <v>5139</v>
      </c>
      <c r="I774" s="4">
        <f>IF(Table2[[#This Row],[pledged]]&gt;0,Table2[[#This Row],[pledged]]/Table2[[#This Row],[backers_count]],0)</f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8">
        <f t="shared" si="24"/>
        <v>43505.25</v>
      </c>
      <c r="O774" s="8">
        <f t="shared" si="25"/>
        <v>43509.25</v>
      </c>
      <c r="P774" s="5">
        <f>_xlfn.DAYS(Table2[[#This Row],[Date Ended Conversion]],Table2[[#This Row],[Date Created Conversion]])+1</f>
        <v>5</v>
      </c>
      <c r="Q774" t="b">
        <v>0</v>
      </c>
      <c r="R774" t="b">
        <v>0</v>
      </c>
      <c r="S774" t="s">
        <v>60</v>
      </c>
      <c r="T774" t="str">
        <f>_xlfn.TEXTBEFORE(Table2[[#This Row],[category &amp; sub-category]],"/")</f>
        <v>music</v>
      </c>
      <c r="U774" t="str">
        <f>_xlfn.TEXTAFTER(Table2[[#This Row],[category &amp; sub-category]],"/")</f>
        <v>indie rock</v>
      </c>
    </row>
    <row r="775" spans="1:21" ht="17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5">
        <f>100*Table2[[#This Row],[pledged]]/Table2[[#This Row],[goal]]</f>
        <v>190.55555555555554</v>
      </c>
      <c r="G775" t="s">
        <v>20</v>
      </c>
      <c r="H775">
        <v>2353</v>
      </c>
      <c r="I775" s="4">
        <f>IF(Table2[[#This Row],[pledged]]&gt;0,Table2[[#This Row],[pledged]]/Table2[[#This Row],[backers_count]],0)</f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8">
        <f t="shared" si="24"/>
        <v>42838.208333333328</v>
      </c>
      <c r="O775" s="8">
        <f t="shared" si="25"/>
        <v>42848.208333333328</v>
      </c>
      <c r="P775" s="5">
        <f>_xlfn.DAYS(Table2[[#This Row],[Date Ended Conversion]],Table2[[#This Row],[Date Created Conversion]])+1</f>
        <v>11</v>
      </c>
      <c r="Q775" t="b">
        <v>0</v>
      </c>
      <c r="R775" t="b">
        <v>0</v>
      </c>
      <c r="S775" t="s">
        <v>33</v>
      </c>
      <c r="T775" t="str">
        <f>_xlfn.TEXTBEFORE(Table2[[#This Row],[category &amp; sub-category]],"/")</f>
        <v>theater</v>
      </c>
      <c r="U775" t="str">
        <f>_xlfn.TEXTAFTER(Table2[[#This Row],[category &amp; sub-category]],"/")</f>
        <v>plays</v>
      </c>
    </row>
    <row r="776" spans="1:21" ht="17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5">
        <f>100*Table2[[#This Row],[pledged]]/Table2[[#This Row],[goal]]</f>
        <v>135.5</v>
      </c>
      <c r="G776" t="s">
        <v>20</v>
      </c>
      <c r="H776">
        <v>78</v>
      </c>
      <c r="I776" s="4">
        <f>IF(Table2[[#This Row],[pledged]]&gt;0,Table2[[#This Row],[pledged]]/Table2[[#This Row],[backers_count]],0)</f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8">
        <f t="shared" si="24"/>
        <v>42513.208333333328</v>
      </c>
      <c r="O776" s="8">
        <f t="shared" si="25"/>
        <v>42554.208333333328</v>
      </c>
      <c r="P776" s="5">
        <f>_xlfn.DAYS(Table2[[#This Row],[Date Ended Conversion]],Table2[[#This Row],[Date Created Conversion]])+1</f>
        <v>42</v>
      </c>
      <c r="Q776" t="b">
        <v>0</v>
      </c>
      <c r="R776" t="b">
        <v>0</v>
      </c>
      <c r="S776" t="s">
        <v>28</v>
      </c>
      <c r="T776" t="str">
        <f>_xlfn.TEXTBEFORE(Table2[[#This Row],[category &amp; sub-category]],"/")</f>
        <v>technology</v>
      </c>
      <c r="U776" t="str">
        <f>_xlfn.TEXTAFTER(Table2[[#This Row],[category &amp; sub-category]],"/")</f>
        <v>web</v>
      </c>
    </row>
    <row r="777" spans="1:21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5">
        <f>100*Table2[[#This Row],[pledged]]/Table2[[#This Row],[goal]]</f>
        <v>10.297872340425531</v>
      </c>
      <c r="G777" t="s">
        <v>14</v>
      </c>
      <c r="H777">
        <v>10</v>
      </c>
      <c r="I777" s="4">
        <f>IF(Table2[[#This Row],[pledged]]&gt;0,Table2[[#This Row],[pledged]]/Table2[[#This Row],[backers_count]],0)</f>
        <v>96.8</v>
      </c>
      <c r="J777" t="s">
        <v>21</v>
      </c>
      <c r="K777" t="s">
        <v>22</v>
      </c>
      <c r="L777">
        <v>1415253600</v>
      </c>
      <c r="M777">
        <v>1416117600</v>
      </c>
      <c r="N777" s="8">
        <f t="shared" si="24"/>
        <v>41949.25</v>
      </c>
      <c r="O777" s="8">
        <f t="shared" si="25"/>
        <v>41959.25</v>
      </c>
      <c r="P777" s="5">
        <f>_xlfn.DAYS(Table2[[#This Row],[Date Ended Conversion]],Table2[[#This Row],[Date Created Conversion]])+1</f>
        <v>11</v>
      </c>
      <c r="Q777" t="b">
        <v>0</v>
      </c>
      <c r="R777" t="b">
        <v>0</v>
      </c>
      <c r="S777" t="s">
        <v>23</v>
      </c>
      <c r="T777" t="str">
        <f>_xlfn.TEXTBEFORE(Table2[[#This Row],[category &amp; sub-category]],"/")</f>
        <v>music</v>
      </c>
      <c r="U777" t="str">
        <f>_xlfn.TEXTAFTER(Table2[[#This Row],[category &amp; sub-category]],"/")</f>
        <v>rock</v>
      </c>
    </row>
    <row r="778" spans="1:21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5">
        <f>100*Table2[[#This Row],[pledged]]/Table2[[#This Row],[goal]]</f>
        <v>65.544223826714799</v>
      </c>
      <c r="G778" t="s">
        <v>14</v>
      </c>
      <c r="H778">
        <v>2201</v>
      </c>
      <c r="I778" s="4">
        <f>IF(Table2[[#This Row],[pledged]]&gt;0,Table2[[#This Row],[pledged]]/Table2[[#This Row],[backers_count]],0)</f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8">
        <f t="shared" si="24"/>
        <v>43650.208333333328</v>
      </c>
      <c r="O778" s="8">
        <f t="shared" si="25"/>
        <v>43668.208333333328</v>
      </c>
      <c r="P778" s="5">
        <f>_xlfn.DAYS(Table2[[#This Row],[Date Ended Conversion]],Table2[[#This Row],[Date Created Conversion]])+1</f>
        <v>19</v>
      </c>
      <c r="Q778" t="b">
        <v>0</v>
      </c>
      <c r="R778" t="b">
        <v>0</v>
      </c>
      <c r="S778" t="s">
        <v>33</v>
      </c>
      <c r="T778" t="str">
        <f>_xlfn.TEXTBEFORE(Table2[[#This Row],[category &amp; sub-category]],"/")</f>
        <v>theater</v>
      </c>
      <c r="U778" t="str">
        <f>_xlfn.TEXTAFTER(Table2[[#This Row],[category &amp; sub-category]],"/")</f>
        <v>plays</v>
      </c>
    </row>
    <row r="779" spans="1:21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5">
        <f>100*Table2[[#This Row],[pledged]]/Table2[[#This Row],[goal]]</f>
        <v>49.026652452025587</v>
      </c>
      <c r="G779" t="s">
        <v>14</v>
      </c>
      <c r="H779">
        <v>676</v>
      </c>
      <c r="I779" s="4">
        <f>IF(Table2[[#This Row],[pledged]]&gt;0,Table2[[#This Row],[pledged]]/Table2[[#This Row],[backers_count]],0)</f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8">
        <f t="shared" si="24"/>
        <v>40809.208333333336</v>
      </c>
      <c r="O779" s="8">
        <f t="shared" si="25"/>
        <v>40838.208333333336</v>
      </c>
      <c r="P779" s="5">
        <f>_xlfn.DAYS(Table2[[#This Row],[Date Ended Conversion]],Table2[[#This Row],[Date Created Conversion]])+1</f>
        <v>30</v>
      </c>
      <c r="Q779" t="b">
        <v>0</v>
      </c>
      <c r="R779" t="b">
        <v>0</v>
      </c>
      <c r="S779" t="s">
        <v>33</v>
      </c>
      <c r="T779" t="str">
        <f>_xlfn.TEXTBEFORE(Table2[[#This Row],[category &amp; sub-category]],"/")</f>
        <v>theater</v>
      </c>
      <c r="U779" t="str">
        <f>_xlfn.TEXTAFTER(Table2[[#This Row],[category &amp; sub-category]],"/")</f>
        <v>plays</v>
      </c>
    </row>
    <row r="780" spans="1:21" ht="17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5">
        <f>100*Table2[[#This Row],[pledged]]/Table2[[#This Row],[goal]]</f>
        <v>787.92307692307691</v>
      </c>
      <c r="G780" t="s">
        <v>20</v>
      </c>
      <c r="H780">
        <v>174</v>
      </c>
      <c r="I780" s="4">
        <f>IF(Table2[[#This Row],[pledged]]&gt;0,Table2[[#This Row],[pledged]]/Table2[[#This Row],[backers_count]],0)</f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8">
        <f t="shared" si="24"/>
        <v>40768.208333333336</v>
      </c>
      <c r="O780" s="8">
        <f t="shared" si="25"/>
        <v>40773.208333333336</v>
      </c>
      <c r="P780" s="5">
        <f>_xlfn.DAYS(Table2[[#This Row],[Date Ended Conversion]],Table2[[#This Row],[Date Created Conversion]])+1</f>
        <v>6</v>
      </c>
      <c r="Q780" t="b">
        <v>0</v>
      </c>
      <c r="R780" t="b">
        <v>0</v>
      </c>
      <c r="S780" t="s">
        <v>71</v>
      </c>
      <c r="T780" t="str">
        <f>_xlfn.TEXTBEFORE(Table2[[#This Row],[category &amp; sub-category]],"/")</f>
        <v>film &amp; video</v>
      </c>
      <c r="U780" t="str">
        <f>_xlfn.TEXTAFTER(Table2[[#This Row],[category &amp; sub-category]],"/")</f>
        <v>animation</v>
      </c>
    </row>
    <row r="781" spans="1:21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5">
        <f>100*Table2[[#This Row],[pledged]]/Table2[[#This Row],[goal]]</f>
        <v>80.306347746090154</v>
      </c>
      <c r="G781" t="s">
        <v>14</v>
      </c>
      <c r="H781">
        <v>831</v>
      </c>
      <c r="I781" s="4">
        <f>IF(Table2[[#This Row],[pledged]]&gt;0,Table2[[#This Row],[pledged]]/Table2[[#This Row],[backers_count]],0)</f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8">
        <f t="shared" si="24"/>
        <v>42230.208333333328</v>
      </c>
      <c r="O781" s="8">
        <f t="shared" si="25"/>
        <v>42239.208333333328</v>
      </c>
      <c r="P781" s="5">
        <f>_xlfn.DAYS(Table2[[#This Row],[Date Ended Conversion]],Table2[[#This Row],[Date Created Conversion]])+1</f>
        <v>10</v>
      </c>
      <c r="Q781" t="b">
        <v>0</v>
      </c>
      <c r="R781" t="b">
        <v>1</v>
      </c>
      <c r="S781" t="s">
        <v>33</v>
      </c>
      <c r="T781" t="str">
        <f>_xlfn.TEXTBEFORE(Table2[[#This Row],[category &amp; sub-category]],"/")</f>
        <v>theater</v>
      </c>
      <c r="U781" t="str">
        <f>_xlfn.TEXTAFTER(Table2[[#This Row],[category &amp; sub-category]],"/")</f>
        <v>plays</v>
      </c>
    </row>
    <row r="782" spans="1:21" ht="34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5">
        <f>100*Table2[[#This Row],[pledged]]/Table2[[#This Row],[goal]]</f>
        <v>106.29411764705883</v>
      </c>
      <c r="G782" t="s">
        <v>20</v>
      </c>
      <c r="H782">
        <v>164</v>
      </c>
      <c r="I782" s="4">
        <f>IF(Table2[[#This Row],[pledged]]&gt;0,Table2[[#This Row],[pledged]]/Table2[[#This Row],[backers_count]],0)</f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8">
        <f t="shared" si="24"/>
        <v>42573.208333333328</v>
      </c>
      <c r="O782" s="8">
        <f t="shared" si="25"/>
        <v>42592.208333333328</v>
      </c>
      <c r="P782" s="5">
        <f>_xlfn.DAYS(Table2[[#This Row],[Date Ended Conversion]],Table2[[#This Row],[Date Created Conversion]])+1</f>
        <v>20</v>
      </c>
      <c r="Q782" t="b">
        <v>0</v>
      </c>
      <c r="R782" t="b">
        <v>1</v>
      </c>
      <c r="S782" t="s">
        <v>53</v>
      </c>
      <c r="T782" t="str">
        <f>_xlfn.TEXTBEFORE(Table2[[#This Row],[category &amp; sub-category]],"/")</f>
        <v>film &amp; video</v>
      </c>
      <c r="U782" t="str">
        <f>_xlfn.TEXTAFTER(Table2[[#This Row],[category &amp; sub-category]],"/")</f>
        <v>drama</v>
      </c>
    </row>
    <row r="783" spans="1:21" ht="17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5">
        <f>100*Table2[[#This Row],[pledged]]/Table2[[#This Row],[goal]]</f>
        <v>50.735632183908045</v>
      </c>
      <c r="G783" t="s">
        <v>74</v>
      </c>
      <c r="H783">
        <v>56</v>
      </c>
      <c r="I783" s="4">
        <f>IF(Table2[[#This Row],[pledged]]&gt;0,Table2[[#This Row],[pledged]]/Table2[[#This Row],[backers_count]],0)</f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8">
        <f t="shared" si="24"/>
        <v>40482.208333333336</v>
      </c>
      <c r="O783" s="8">
        <f t="shared" si="25"/>
        <v>40533.25</v>
      </c>
      <c r="P783" s="5">
        <f>_xlfn.DAYS(Table2[[#This Row],[Date Ended Conversion]],Table2[[#This Row],[Date Created Conversion]])+1</f>
        <v>52</v>
      </c>
      <c r="Q783" t="b">
        <v>0</v>
      </c>
      <c r="R783" t="b">
        <v>0</v>
      </c>
      <c r="S783" t="s">
        <v>33</v>
      </c>
      <c r="T783" t="str">
        <f>_xlfn.TEXTBEFORE(Table2[[#This Row],[category &amp; sub-category]],"/")</f>
        <v>theater</v>
      </c>
      <c r="U783" t="str">
        <f>_xlfn.TEXTAFTER(Table2[[#This Row],[category &amp; sub-category]],"/")</f>
        <v>plays</v>
      </c>
    </row>
    <row r="784" spans="1:21" ht="17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5">
        <f>100*Table2[[#This Row],[pledged]]/Table2[[#This Row],[goal]]</f>
        <v>215.31372549019608</v>
      </c>
      <c r="G784" t="s">
        <v>20</v>
      </c>
      <c r="H784">
        <v>161</v>
      </c>
      <c r="I784" s="4">
        <f>IF(Table2[[#This Row],[pledged]]&gt;0,Table2[[#This Row],[pledged]]/Table2[[#This Row],[backers_count]],0)</f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8">
        <f t="shared" si="24"/>
        <v>40603.25</v>
      </c>
      <c r="O784" s="8">
        <f t="shared" si="25"/>
        <v>40631.208333333336</v>
      </c>
      <c r="P784" s="5">
        <f>_xlfn.DAYS(Table2[[#This Row],[Date Ended Conversion]],Table2[[#This Row],[Date Created Conversion]])+1</f>
        <v>29</v>
      </c>
      <c r="Q784" t="b">
        <v>0</v>
      </c>
      <c r="R784" t="b">
        <v>1</v>
      </c>
      <c r="S784" t="s">
        <v>71</v>
      </c>
      <c r="T784" t="str">
        <f>_xlfn.TEXTBEFORE(Table2[[#This Row],[category &amp; sub-category]],"/")</f>
        <v>film &amp; video</v>
      </c>
      <c r="U784" t="str">
        <f>_xlfn.TEXTAFTER(Table2[[#This Row],[category &amp; sub-category]],"/")</f>
        <v>animation</v>
      </c>
    </row>
    <row r="785" spans="1:21" ht="17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5">
        <f>100*Table2[[#This Row],[pledged]]/Table2[[#This Row],[goal]]</f>
        <v>141.22972972972974</v>
      </c>
      <c r="G785" t="s">
        <v>20</v>
      </c>
      <c r="H785">
        <v>138</v>
      </c>
      <c r="I785" s="4">
        <f>IF(Table2[[#This Row],[pledged]]&gt;0,Table2[[#This Row],[pledged]]/Table2[[#This Row],[backers_count]],0)</f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8">
        <f t="shared" si="24"/>
        <v>41625.25</v>
      </c>
      <c r="O785" s="8">
        <f t="shared" si="25"/>
        <v>41632.25</v>
      </c>
      <c r="P785" s="5">
        <f>_xlfn.DAYS(Table2[[#This Row],[Date Ended Conversion]],Table2[[#This Row],[Date Created Conversion]])+1</f>
        <v>8</v>
      </c>
      <c r="Q785" t="b">
        <v>0</v>
      </c>
      <c r="R785" t="b">
        <v>0</v>
      </c>
      <c r="S785" t="s">
        <v>23</v>
      </c>
      <c r="T785" t="str">
        <f>_xlfn.TEXTBEFORE(Table2[[#This Row],[category &amp; sub-category]],"/")</f>
        <v>music</v>
      </c>
      <c r="U785" t="str">
        <f>_xlfn.TEXTAFTER(Table2[[#This Row],[category &amp; sub-category]],"/")</f>
        <v>rock</v>
      </c>
    </row>
    <row r="786" spans="1:21" ht="17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5">
        <f>100*Table2[[#This Row],[pledged]]/Table2[[#This Row],[goal]]</f>
        <v>115.33745781777277</v>
      </c>
      <c r="G786" t="s">
        <v>20</v>
      </c>
      <c r="H786">
        <v>3308</v>
      </c>
      <c r="I786" s="4">
        <f>IF(Table2[[#This Row],[pledged]]&gt;0,Table2[[#This Row],[pledged]]/Table2[[#This Row],[backers_count]],0)</f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8">
        <f t="shared" si="24"/>
        <v>42435.25</v>
      </c>
      <c r="O786" s="8">
        <f t="shared" si="25"/>
        <v>42446.208333333328</v>
      </c>
      <c r="P786" s="5">
        <f>_xlfn.DAYS(Table2[[#This Row],[Date Ended Conversion]],Table2[[#This Row],[Date Created Conversion]])+1</f>
        <v>12</v>
      </c>
      <c r="Q786" t="b">
        <v>0</v>
      </c>
      <c r="R786" t="b">
        <v>0</v>
      </c>
      <c r="S786" t="s">
        <v>28</v>
      </c>
      <c r="T786" t="str">
        <f>_xlfn.TEXTBEFORE(Table2[[#This Row],[category &amp; sub-category]],"/")</f>
        <v>technology</v>
      </c>
      <c r="U786" t="str">
        <f>_xlfn.TEXTAFTER(Table2[[#This Row],[category &amp; sub-category]],"/")</f>
        <v>web</v>
      </c>
    </row>
    <row r="787" spans="1:21" ht="34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5">
        <f>100*Table2[[#This Row],[pledged]]/Table2[[#This Row],[goal]]</f>
        <v>193.11940298507463</v>
      </c>
      <c r="G787" t="s">
        <v>20</v>
      </c>
      <c r="H787">
        <v>127</v>
      </c>
      <c r="I787" s="4">
        <f>IF(Table2[[#This Row],[pledged]]&gt;0,Table2[[#This Row],[pledged]]/Table2[[#This Row],[backers_count]],0)</f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8">
        <f t="shared" si="24"/>
        <v>43582.208333333328</v>
      </c>
      <c r="O787" s="8">
        <f t="shared" si="25"/>
        <v>43616.208333333328</v>
      </c>
      <c r="P787" s="5">
        <f>_xlfn.DAYS(Table2[[#This Row],[Date Ended Conversion]],Table2[[#This Row],[Date Created Conversion]])+1</f>
        <v>35</v>
      </c>
      <c r="Q787" t="b">
        <v>0</v>
      </c>
      <c r="R787" t="b">
        <v>1</v>
      </c>
      <c r="S787" t="s">
        <v>71</v>
      </c>
      <c r="T787" t="str">
        <f>_xlfn.TEXTBEFORE(Table2[[#This Row],[category &amp; sub-category]],"/")</f>
        <v>film &amp; video</v>
      </c>
      <c r="U787" t="str">
        <f>_xlfn.TEXTAFTER(Table2[[#This Row],[category &amp; sub-category]],"/")</f>
        <v>animation</v>
      </c>
    </row>
    <row r="788" spans="1:21" ht="17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5">
        <f>100*Table2[[#This Row],[pledged]]/Table2[[#This Row],[goal]]</f>
        <v>729.73333333333335</v>
      </c>
      <c r="G788" t="s">
        <v>20</v>
      </c>
      <c r="H788">
        <v>207</v>
      </c>
      <c r="I788" s="4">
        <f>IF(Table2[[#This Row],[pledged]]&gt;0,Table2[[#This Row],[pledged]]/Table2[[#This Row],[backers_count]],0)</f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8">
        <f t="shared" si="24"/>
        <v>43186.208333333328</v>
      </c>
      <c r="O788" s="8">
        <f t="shared" si="25"/>
        <v>43193.208333333328</v>
      </c>
      <c r="P788" s="5">
        <f>_xlfn.DAYS(Table2[[#This Row],[Date Ended Conversion]],Table2[[#This Row],[Date Created Conversion]])+1</f>
        <v>8</v>
      </c>
      <c r="Q788" t="b">
        <v>0</v>
      </c>
      <c r="R788" t="b">
        <v>1</v>
      </c>
      <c r="S788" t="s">
        <v>159</v>
      </c>
      <c r="T788" t="str">
        <f>_xlfn.TEXTBEFORE(Table2[[#This Row],[category &amp; sub-category]],"/")</f>
        <v>music</v>
      </c>
      <c r="U788" t="str">
        <f>_xlfn.TEXTAFTER(Table2[[#This Row],[category &amp; sub-category]],"/")</f>
        <v>jazz</v>
      </c>
    </row>
    <row r="789" spans="1:21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5">
        <f>100*Table2[[#This Row],[pledged]]/Table2[[#This Row],[goal]]</f>
        <v>99.66339869281046</v>
      </c>
      <c r="G789" t="s">
        <v>14</v>
      </c>
      <c r="H789">
        <v>859</v>
      </c>
      <c r="I789" s="4">
        <f>IF(Table2[[#This Row],[pledged]]&gt;0,Table2[[#This Row],[pledged]]/Table2[[#This Row],[backers_count]],0)</f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8">
        <f t="shared" si="24"/>
        <v>40684.208333333336</v>
      </c>
      <c r="O789" s="8">
        <f t="shared" si="25"/>
        <v>40693.208333333336</v>
      </c>
      <c r="P789" s="5">
        <f>_xlfn.DAYS(Table2[[#This Row],[Date Ended Conversion]],Table2[[#This Row],[Date Created Conversion]])+1</f>
        <v>10</v>
      </c>
      <c r="Q789" t="b">
        <v>0</v>
      </c>
      <c r="R789" t="b">
        <v>0</v>
      </c>
      <c r="S789" t="s">
        <v>23</v>
      </c>
      <c r="T789" t="str">
        <f>_xlfn.TEXTBEFORE(Table2[[#This Row],[category &amp; sub-category]],"/")</f>
        <v>music</v>
      </c>
      <c r="U789" t="str">
        <f>_xlfn.TEXTAFTER(Table2[[#This Row],[category &amp; sub-category]],"/")</f>
        <v>rock</v>
      </c>
    </row>
    <row r="790" spans="1:21" ht="17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5">
        <f>100*Table2[[#This Row],[pledged]]/Table2[[#This Row],[goal]]</f>
        <v>88.166666666666671</v>
      </c>
      <c r="G790" t="s">
        <v>47</v>
      </c>
      <c r="H790">
        <v>31</v>
      </c>
      <c r="I790" s="4">
        <f>IF(Table2[[#This Row],[pledged]]&gt;0,Table2[[#This Row],[pledged]]/Table2[[#This Row],[backers_count]],0)</f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8">
        <f t="shared" si="24"/>
        <v>41202.208333333336</v>
      </c>
      <c r="O790" s="8">
        <f t="shared" si="25"/>
        <v>41223.25</v>
      </c>
      <c r="P790" s="5">
        <f>_xlfn.DAYS(Table2[[#This Row],[Date Ended Conversion]],Table2[[#This Row],[Date Created Conversion]])+1</f>
        <v>22</v>
      </c>
      <c r="Q790" t="b">
        <v>0</v>
      </c>
      <c r="R790" t="b">
        <v>0</v>
      </c>
      <c r="S790" t="s">
        <v>71</v>
      </c>
      <c r="T790" t="str">
        <f>_xlfn.TEXTBEFORE(Table2[[#This Row],[category &amp; sub-category]],"/")</f>
        <v>film &amp; video</v>
      </c>
      <c r="U790" t="str">
        <f>_xlfn.TEXTAFTER(Table2[[#This Row],[category &amp; sub-category]],"/")</f>
        <v>animation</v>
      </c>
    </row>
    <row r="791" spans="1:21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5">
        <f>100*Table2[[#This Row],[pledged]]/Table2[[#This Row],[goal]]</f>
        <v>37.233333333333334</v>
      </c>
      <c r="G791" t="s">
        <v>14</v>
      </c>
      <c r="H791">
        <v>45</v>
      </c>
      <c r="I791" s="4">
        <f>IF(Table2[[#This Row],[pledged]]&gt;0,Table2[[#This Row],[pledged]]/Table2[[#This Row],[backers_count]],0)</f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8">
        <f t="shared" si="24"/>
        <v>41786.208333333336</v>
      </c>
      <c r="O791" s="8">
        <f t="shared" si="25"/>
        <v>41823.208333333336</v>
      </c>
      <c r="P791" s="5">
        <f>_xlfn.DAYS(Table2[[#This Row],[Date Ended Conversion]],Table2[[#This Row],[Date Created Conversion]])+1</f>
        <v>38</v>
      </c>
      <c r="Q791" t="b">
        <v>0</v>
      </c>
      <c r="R791" t="b">
        <v>0</v>
      </c>
      <c r="S791" t="s">
        <v>33</v>
      </c>
      <c r="T791" t="str">
        <f>_xlfn.TEXTBEFORE(Table2[[#This Row],[category &amp; sub-category]],"/")</f>
        <v>theater</v>
      </c>
      <c r="U791" t="str">
        <f>_xlfn.TEXTAFTER(Table2[[#This Row],[category &amp; sub-category]],"/")</f>
        <v>plays</v>
      </c>
    </row>
    <row r="792" spans="1:21" ht="17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5">
        <f>100*Table2[[#This Row],[pledged]]/Table2[[#This Row],[goal]]</f>
        <v>30.540075309306079</v>
      </c>
      <c r="G792" t="s">
        <v>74</v>
      </c>
      <c r="H792">
        <v>1113</v>
      </c>
      <c r="I792" s="4">
        <f>IF(Table2[[#This Row],[pledged]]&gt;0,Table2[[#This Row],[pledged]]/Table2[[#This Row],[backers_count]],0)</f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8">
        <f t="shared" si="24"/>
        <v>40223.25</v>
      </c>
      <c r="O792" s="8">
        <f t="shared" si="25"/>
        <v>40229.25</v>
      </c>
      <c r="P792" s="5">
        <f>_xlfn.DAYS(Table2[[#This Row],[Date Ended Conversion]],Table2[[#This Row],[Date Created Conversion]])+1</f>
        <v>7</v>
      </c>
      <c r="Q792" t="b">
        <v>0</v>
      </c>
      <c r="R792" t="b">
        <v>0</v>
      </c>
      <c r="S792" t="s">
        <v>33</v>
      </c>
      <c r="T792" t="str">
        <f>_xlfn.TEXTBEFORE(Table2[[#This Row],[category &amp; sub-category]],"/")</f>
        <v>theater</v>
      </c>
      <c r="U792" t="str">
        <f>_xlfn.TEXTAFTER(Table2[[#This Row],[category &amp; sub-category]],"/")</f>
        <v>plays</v>
      </c>
    </row>
    <row r="793" spans="1:21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5">
        <f>100*Table2[[#This Row],[pledged]]/Table2[[#This Row],[goal]]</f>
        <v>25.714285714285715</v>
      </c>
      <c r="G793" t="s">
        <v>14</v>
      </c>
      <c r="H793">
        <v>6</v>
      </c>
      <c r="I793" s="4">
        <f>IF(Table2[[#This Row],[pledged]]&gt;0,Table2[[#This Row],[pledged]]/Table2[[#This Row],[backers_count]],0)</f>
        <v>90</v>
      </c>
      <c r="J793" t="s">
        <v>21</v>
      </c>
      <c r="K793" t="s">
        <v>22</v>
      </c>
      <c r="L793">
        <v>1481436000</v>
      </c>
      <c r="M793">
        <v>1482818400</v>
      </c>
      <c r="N793" s="8">
        <f t="shared" si="24"/>
        <v>42715.25</v>
      </c>
      <c r="O793" s="8">
        <f t="shared" si="25"/>
        <v>42731.25</v>
      </c>
      <c r="P793" s="5">
        <f>_xlfn.DAYS(Table2[[#This Row],[Date Ended Conversion]],Table2[[#This Row],[Date Created Conversion]])+1</f>
        <v>17</v>
      </c>
      <c r="Q793" t="b">
        <v>0</v>
      </c>
      <c r="R793" t="b">
        <v>0</v>
      </c>
      <c r="S793" t="s">
        <v>17</v>
      </c>
      <c r="T793" t="str">
        <f>_xlfn.TEXTBEFORE(Table2[[#This Row],[category &amp; sub-category]],"/")</f>
        <v>food</v>
      </c>
      <c r="U793" t="str">
        <f>_xlfn.TEXTAFTER(Table2[[#This Row],[category &amp; sub-category]],"/")</f>
        <v>food trucks</v>
      </c>
    </row>
    <row r="794" spans="1:21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5">
        <f>100*Table2[[#This Row],[pledged]]/Table2[[#This Row],[goal]]</f>
        <v>34</v>
      </c>
      <c r="G794" t="s">
        <v>14</v>
      </c>
      <c r="H794">
        <v>7</v>
      </c>
      <c r="I794" s="4">
        <f>IF(Table2[[#This Row],[pledged]]&gt;0,Table2[[#This Row],[pledged]]/Table2[[#This Row],[backers_count]],0)</f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8">
        <f t="shared" si="24"/>
        <v>41451.208333333336</v>
      </c>
      <c r="O794" s="8">
        <f t="shared" si="25"/>
        <v>41479.208333333336</v>
      </c>
      <c r="P794" s="5">
        <f>_xlfn.DAYS(Table2[[#This Row],[Date Ended Conversion]],Table2[[#This Row],[Date Created Conversion]])+1</f>
        <v>29</v>
      </c>
      <c r="Q794" t="b">
        <v>0</v>
      </c>
      <c r="R794" t="b">
        <v>1</v>
      </c>
      <c r="S794" t="s">
        <v>33</v>
      </c>
      <c r="T794" t="str">
        <f>_xlfn.TEXTBEFORE(Table2[[#This Row],[category &amp; sub-category]],"/")</f>
        <v>theater</v>
      </c>
      <c r="U794" t="str">
        <f>_xlfn.TEXTAFTER(Table2[[#This Row],[category &amp; sub-category]],"/")</f>
        <v>plays</v>
      </c>
    </row>
    <row r="795" spans="1:21" ht="17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5">
        <f>100*Table2[[#This Row],[pledged]]/Table2[[#This Row],[goal]]</f>
        <v>1185.909090909091</v>
      </c>
      <c r="G795" t="s">
        <v>20</v>
      </c>
      <c r="H795">
        <v>181</v>
      </c>
      <c r="I795" s="4">
        <f>IF(Table2[[#This Row],[pledged]]&gt;0,Table2[[#This Row],[pledged]]/Table2[[#This Row],[backers_count]],0)</f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8">
        <f t="shared" si="24"/>
        <v>41450.208333333336</v>
      </c>
      <c r="O795" s="8">
        <f t="shared" si="25"/>
        <v>41454.208333333336</v>
      </c>
      <c r="P795" s="5">
        <f>_xlfn.DAYS(Table2[[#This Row],[Date Ended Conversion]],Table2[[#This Row],[Date Created Conversion]])+1</f>
        <v>5</v>
      </c>
      <c r="Q795" t="b">
        <v>0</v>
      </c>
      <c r="R795" t="b">
        <v>0</v>
      </c>
      <c r="S795" t="s">
        <v>68</v>
      </c>
      <c r="T795" t="str">
        <f>_xlfn.TEXTBEFORE(Table2[[#This Row],[category &amp; sub-category]],"/")</f>
        <v>publishing</v>
      </c>
      <c r="U795" t="str">
        <f>_xlfn.TEXTAFTER(Table2[[#This Row],[category &amp; sub-category]],"/")</f>
        <v>nonfiction</v>
      </c>
    </row>
    <row r="796" spans="1:21" ht="17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5">
        <f>100*Table2[[#This Row],[pledged]]/Table2[[#This Row],[goal]]</f>
        <v>125.39393939393939</v>
      </c>
      <c r="G796" t="s">
        <v>20</v>
      </c>
      <c r="H796">
        <v>110</v>
      </c>
      <c r="I796" s="4">
        <f>IF(Table2[[#This Row],[pledged]]&gt;0,Table2[[#This Row],[pledged]]/Table2[[#This Row],[backers_count]],0)</f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8">
        <f t="shared" si="24"/>
        <v>43091.25</v>
      </c>
      <c r="O796" s="8">
        <f t="shared" si="25"/>
        <v>43103.25</v>
      </c>
      <c r="P796" s="5">
        <f>_xlfn.DAYS(Table2[[#This Row],[Date Ended Conversion]],Table2[[#This Row],[Date Created Conversion]])+1</f>
        <v>13</v>
      </c>
      <c r="Q796" t="b">
        <v>0</v>
      </c>
      <c r="R796" t="b">
        <v>0</v>
      </c>
      <c r="S796" t="s">
        <v>23</v>
      </c>
      <c r="T796" t="str">
        <f>_xlfn.TEXTBEFORE(Table2[[#This Row],[category &amp; sub-category]],"/")</f>
        <v>music</v>
      </c>
      <c r="U796" t="str">
        <f>_xlfn.TEXTAFTER(Table2[[#This Row],[category &amp; sub-category]],"/")</f>
        <v>rock</v>
      </c>
    </row>
    <row r="797" spans="1:21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5">
        <f>100*Table2[[#This Row],[pledged]]/Table2[[#This Row],[goal]]</f>
        <v>14.394366197183098</v>
      </c>
      <c r="G797" t="s">
        <v>14</v>
      </c>
      <c r="H797">
        <v>31</v>
      </c>
      <c r="I797" s="4">
        <f>IF(Table2[[#This Row],[pledged]]&gt;0,Table2[[#This Row],[pledged]]/Table2[[#This Row],[backers_count]],0)</f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8">
        <f t="shared" si="24"/>
        <v>42675.208333333328</v>
      </c>
      <c r="O797" s="8">
        <f t="shared" si="25"/>
        <v>42678.208333333328</v>
      </c>
      <c r="P797" s="5">
        <f>_xlfn.DAYS(Table2[[#This Row],[Date Ended Conversion]],Table2[[#This Row],[Date Created Conversion]])+1</f>
        <v>4</v>
      </c>
      <c r="Q797" t="b">
        <v>0</v>
      </c>
      <c r="R797" t="b">
        <v>0</v>
      </c>
      <c r="S797" t="s">
        <v>53</v>
      </c>
      <c r="T797" t="str">
        <f>_xlfn.TEXTBEFORE(Table2[[#This Row],[category &amp; sub-category]],"/")</f>
        <v>film &amp; video</v>
      </c>
      <c r="U797" t="str">
        <f>_xlfn.TEXTAFTER(Table2[[#This Row],[category &amp; sub-category]],"/")</f>
        <v>drama</v>
      </c>
    </row>
    <row r="798" spans="1:21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5">
        <f>100*Table2[[#This Row],[pledged]]/Table2[[#This Row],[goal]]</f>
        <v>54.807692307692307</v>
      </c>
      <c r="G798" t="s">
        <v>14</v>
      </c>
      <c r="H798">
        <v>78</v>
      </c>
      <c r="I798" s="4">
        <f>IF(Table2[[#This Row],[pledged]]&gt;0,Table2[[#This Row],[pledged]]/Table2[[#This Row],[backers_count]],0)</f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8">
        <f t="shared" si="24"/>
        <v>41859.208333333336</v>
      </c>
      <c r="O798" s="8">
        <f t="shared" si="25"/>
        <v>41866.208333333336</v>
      </c>
      <c r="P798" s="5">
        <f>_xlfn.DAYS(Table2[[#This Row],[Date Ended Conversion]],Table2[[#This Row],[Date Created Conversion]])+1</f>
        <v>8</v>
      </c>
      <c r="Q798" t="b">
        <v>0</v>
      </c>
      <c r="R798" t="b">
        <v>1</v>
      </c>
      <c r="S798" t="s">
        <v>292</v>
      </c>
      <c r="T798" t="str">
        <f>_xlfn.TEXTBEFORE(Table2[[#This Row],[category &amp; sub-category]],"/")</f>
        <v>games</v>
      </c>
      <c r="U798" t="str">
        <f>_xlfn.TEXTAFTER(Table2[[#This Row],[category &amp; sub-category]],"/")</f>
        <v>mobile games</v>
      </c>
    </row>
    <row r="799" spans="1:21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5">
        <f>100*Table2[[#This Row],[pledged]]/Table2[[#This Row],[goal]]</f>
        <v>109.63157894736842</v>
      </c>
      <c r="G799" t="s">
        <v>20</v>
      </c>
      <c r="H799">
        <v>185</v>
      </c>
      <c r="I799" s="4">
        <f>IF(Table2[[#This Row],[pledged]]&gt;0,Table2[[#This Row],[pledged]]/Table2[[#This Row],[backers_count]],0)</f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8">
        <f t="shared" si="24"/>
        <v>43464.25</v>
      </c>
      <c r="O799" s="8">
        <f t="shared" si="25"/>
        <v>43487.25</v>
      </c>
      <c r="P799" s="5">
        <f>_xlfn.DAYS(Table2[[#This Row],[Date Ended Conversion]],Table2[[#This Row],[Date Created Conversion]])+1</f>
        <v>24</v>
      </c>
      <c r="Q799" t="b">
        <v>0</v>
      </c>
      <c r="R799" t="b">
        <v>0</v>
      </c>
      <c r="S799" t="s">
        <v>28</v>
      </c>
      <c r="T799" t="str">
        <f>_xlfn.TEXTBEFORE(Table2[[#This Row],[category &amp; sub-category]],"/")</f>
        <v>technology</v>
      </c>
      <c r="U799" t="str">
        <f>_xlfn.TEXTAFTER(Table2[[#This Row],[category &amp; sub-category]],"/")</f>
        <v>web</v>
      </c>
    </row>
    <row r="800" spans="1:21" ht="17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5">
        <f>100*Table2[[#This Row],[pledged]]/Table2[[#This Row],[goal]]</f>
        <v>188.47058823529412</v>
      </c>
      <c r="G800" t="s">
        <v>20</v>
      </c>
      <c r="H800">
        <v>121</v>
      </c>
      <c r="I800" s="4">
        <f>IF(Table2[[#This Row],[pledged]]&gt;0,Table2[[#This Row],[pledged]]/Table2[[#This Row],[backers_count]],0)</f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8">
        <f t="shared" si="24"/>
        <v>41060.208333333336</v>
      </c>
      <c r="O800" s="8">
        <f t="shared" si="25"/>
        <v>41088.208333333336</v>
      </c>
      <c r="P800" s="5">
        <f>_xlfn.DAYS(Table2[[#This Row],[Date Ended Conversion]],Table2[[#This Row],[Date Created Conversion]])+1</f>
        <v>29</v>
      </c>
      <c r="Q800" t="b">
        <v>0</v>
      </c>
      <c r="R800" t="b">
        <v>1</v>
      </c>
      <c r="S800" t="s">
        <v>33</v>
      </c>
      <c r="T800" t="str">
        <f>_xlfn.TEXTBEFORE(Table2[[#This Row],[category &amp; sub-category]],"/")</f>
        <v>theater</v>
      </c>
      <c r="U800" t="str">
        <f>_xlfn.TEXTAFTER(Table2[[#This Row],[category &amp; sub-category]],"/")</f>
        <v>plays</v>
      </c>
    </row>
    <row r="801" spans="1:21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5">
        <f>100*Table2[[#This Row],[pledged]]/Table2[[#This Row],[goal]]</f>
        <v>87.008284023668637</v>
      </c>
      <c r="G801" t="s">
        <v>14</v>
      </c>
      <c r="H801">
        <v>1225</v>
      </c>
      <c r="I801" s="4">
        <f>IF(Table2[[#This Row],[pledged]]&gt;0,Table2[[#This Row],[pledged]]/Table2[[#This Row],[backers_count]],0)</f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8">
        <f t="shared" si="24"/>
        <v>42399.25</v>
      </c>
      <c r="O801" s="8">
        <f t="shared" si="25"/>
        <v>42403.25</v>
      </c>
      <c r="P801" s="5">
        <f>_xlfn.DAYS(Table2[[#This Row],[Date Ended Conversion]],Table2[[#This Row],[Date Created Conversion]])+1</f>
        <v>5</v>
      </c>
      <c r="Q801" t="b">
        <v>0</v>
      </c>
      <c r="R801" t="b">
        <v>0</v>
      </c>
      <c r="S801" t="s">
        <v>33</v>
      </c>
      <c r="T801" t="str">
        <f>_xlfn.TEXTBEFORE(Table2[[#This Row],[category &amp; sub-category]],"/")</f>
        <v>theater</v>
      </c>
      <c r="U801" t="str">
        <f>_xlfn.TEXTAFTER(Table2[[#This Row],[category &amp; sub-category]],"/")</f>
        <v>plays</v>
      </c>
    </row>
    <row r="802" spans="1:21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5">
        <f>100*Table2[[#This Row],[pledged]]/Table2[[#This Row],[goal]]</f>
        <v>1</v>
      </c>
      <c r="G802" t="s">
        <v>14</v>
      </c>
      <c r="H802">
        <v>1</v>
      </c>
      <c r="I802" s="4">
        <f>IF(Table2[[#This Row],[pledged]]&gt;0,Table2[[#This Row],[pledged]]/Table2[[#This Row],[backers_count]],0)</f>
        <v>1</v>
      </c>
      <c r="J802" t="s">
        <v>98</v>
      </c>
      <c r="K802" t="s">
        <v>99</v>
      </c>
      <c r="L802">
        <v>1434085200</v>
      </c>
      <c r="M802">
        <v>1434430800</v>
      </c>
      <c r="N802" s="8">
        <f t="shared" si="24"/>
        <v>42167.208333333328</v>
      </c>
      <c r="O802" s="8">
        <f t="shared" si="25"/>
        <v>42171.208333333328</v>
      </c>
      <c r="P802" s="5">
        <f>_xlfn.DAYS(Table2[[#This Row],[Date Ended Conversion]],Table2[[#This Row],[Date Created Conversion]])+1</f>
        <v>5</v>
      </c>
      <c r="Q802" t="b">
        <v>0</v>
      </c>
      <c r="R802" t="b">
        <v>0</v>
      </c>
      <c r="S802" t="s">
        <v>23</v>
      </c>
      <c r="T802" t="str">
        <f>_xlfn.TEXTBEFORE(Table2[[#This Row],[category &amp; sub-category]],"/")</f>
        <v>music</v>
      </c>
      <c r="U802" t="str">
        <f>_xlfn.TEXTAFTER(Table2[[#This Row],[category &amp; sub-category]],"/")</f>
        <v>rock</v>
      </c>
    </row>
    <row r="803" spans="1:21" ht="17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5">
        <f>100*Table2[[#This Row],[pledged]]/Table2[[#This Row],[goal]]</f>
        <v>202.91304347826087</v>
      </c>
      <c r="G803" t="s">
        <v>20</v>
      </c>
      <c r="H803">
        <v>106</v>
      </c>
      <c r="I803" s="4">
        <f>IF(Table2[[#This Row],[pledged]]&gt;0,Table2[[#This Row],[pledged]]/Table2[[#This Row],[backers_count]],0)</f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8">
        <f t="shared" si="24"/>
        <v>43830.25</v>
      </c>
      <c r="O803" s="8">
        <f t="shared" si="25"/>
        <v>43852.25</v>
      </c>
      <c r="P803" s="5">
        <f>_xlfn.DAYS(Table2[[#This Row],[Date Ended Conversion]],Table2[[#This Row],[Date Created Conversion]])+1</f>
        <v>23</v>
      </c>
      <c r="Q803" t="b">
        <v>0</v>
      </c>
      <c r="R803" t="b">
        <v>1</v>
      </c>
      <c r="S803" t="s">
        <v>122</v>
      </c>
      <c r="T803" t="str">
        <f>_xlfn.TEXTBEFORE(Table2[[#This Row],[category &amp; sub-category]],"/")</f>
        <v>photography</v>
      </c>
      <c r="U803" t="str">
        <f>_xlfn.TEXTAFTER(Table2[[#This Row],[category &amp; sub-category]],"/")</f>
        <v>photography books</v>
      </c>
    </row>
    <row r="804" spans="1:21" ht="34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5">
        <f>100*Table2[[#This Row],[pledged]]/Table2[[#This Row],[goal]]</f>
        <v>197.03225806451613</v>
      </c>
      <c r="G804" t="s">
        <v>20</v>
      </c>
      <c r="H804">
        <v>142</v>
      </c>
      <c r="I804" s="4">
        <f>IF(Table2[[#This Row],[pledged]]&gt;0,Table2[[#This Row],[pledged]]/Table2[[#This Row],[backers_count]],0)</f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8">
        <f t="shared" si="24"/>
        <v>43650.208333333328</v>
      </c>
      <c r="O804" s="8">
        <f t="shared" si="25"/>
        <v>43652.208333333328</v>
      </c>
      <c r="P804" s="5">
        <f>_xlfn.DAYS(Table2[[#This Row],[Date Ended Conversion]],Table2[[#This Row],[Date Created Conversion]])+1</f>
        <v>3</v>
      </c>
      <c r="Q804" t="b">
        <v>0</v>
      </c>
      <c r="R804" t="b">
        <v>0</v>
      </c>
      <c r="S804" t="s">
        <v>122</v>
      </c>
      <c r="T804" t="str">
        <f>_xlfn.TEXTBEFORE(Table2[[#This Row],[category &amp; sub-category]],"/")</f>
        <v>photography</v>
      </c>
      <c r="U804" t="str">
        <f>_xlfn.TEXTAFTER(Table2[[#This Row],[category &amp; sub-category]],"/")</f>
        <v>photography books</v>
      </c>
    </row>
    <row r="805" spans="1:21" ht="34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5">
        <f>100*Table2[[#This Row],[pledged]]/Table2[[#This Row],[goal]]</f>
        <v>107</v>
      </c>
      <c r="G805" t="s">
        <v>20</v>
      </c>
      <c r="H805">
        <v>233</v>
      </c>
      <c r="I805" s="4">
        <f>IF(Table2[[#This Row],[pledged]]&gt;0,Table2[[#This Row],[pledged]]/Table2[[#This Row],[backers_count]],0)</f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8">
        <f t="shared" si="24"/>
        <v>43492.25</v>
      </c>
      <c r="O805" s="8">
        <f t="shared" si="25"/>
        <v>43526.25</v>
      </c>
      <c r="P805" s="5">
        <f>_xlfn.DAYS(Table2[[#This Row],[Date Ended Conversion]],Table2[[#This Row],[Date Created Conversion]])+1</f>
        <v>35</v>
      </c>
      <c r="Q805" t="b">
        <v>0</v>
      </c>
      <c r="R805" t="b">
        <v>0</v>
      </c>
      <c r="S805" t="s">
        <v>33</v>
      </c>
      <c r="T805" t="str">
        <f>_xlfn.TEXTBEFORE(Table2[[#This Row],[category &amp; sub-category]],"/")</f>
        <v>theater</v>
      </c>
      <c r="U805" t="str">
        <f>_xlfn.TEXTAFTER(Table2[[#This Row],[category &amp; sub-category]],"/")</f>
        <v>plays</v>
      </c>
    </row>
    <row r="806" spans="1:21" ht="17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5">
        <f>100*Table2[[#This Row],[pledged]]/Table2[[#This Row],[goal]]</f>
        <v>268.73076923076923</v>
      </c>
      <c r="G806" t="s">
        <v>20</v>
      </c>
      <c r="H806">
        <v>218</v>
      </c>
      <c r="I806" s="4">
        <f>IF(Table2[[#This Row],[pledged]]&gt;0,Table2[[#This Row],[pledged]]/Table2[[#This Row],[backers_count]],0)</f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8">
        <f t="shared" si="24"/>
        <v>43102.25</v>
      </c>
      <c r="O806" s="8">
        <f t="shared" si="25"/>
        <v>43122.25</v>
      </c>
      <c r="P806" s="5">
        <f>_xlfn.DAYS(Table2[[#This Row],[Date Ended Conversion]],Table2[[#This Row],[Date Created Conversion]])+1</f>
        <v>21</v>
      </c>
      <c r="Q806" t="b">
        <v>0</v>
      </c>
      <c r="R806" t="b">
        <v>0</v>
      </c>
      <c r="S806" t="s">
        <v>23</v>
      </c>
      <c r="T806" t="str">
        <f>_xlfn.TEXTBEFORE(Table2[[#This Row],[category &amp; sub-category]],"/")</f>
        <v>music</v>
      </c>
      <c r="U806" t="str">
        <f>_xlfn.TEXTAFTER(Table2[[#This Row],[category &amp; sub-category]],"/")</f>
        <v>rock</v>
      </c>
    </row>
    <row r="807" spans="1:21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5">
        <f>100*Table2[[#This Row],[pledged]]/Table2[[#This Row],[goal]]</f>
        <v>50.845360824742265</v>
      </c>
      <c r="G807" t="s">
        <v>14</v>
      </c>
      <c r="H807">
        <v>67</v>
      </c>
      <c r="I807" s="4">
        <f>IF(Table2[[#This Row],[pledged]]&gt;0,Table2[[#This Row],[pledged]]/Table2[[#This Row],[backers_count]],0)</f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8">
        <f t="shared" si="24"/>
        <v>41958.25</v>
      </c>
      <c r="O807" s="8">
        <f t="shared" si="25"/>
        <v>42009.25</v>
      </c>
      <c r="P807" s="5">
        <f>_xlfn.DAYS(Table2[[#This Row],[Date Ended Conversion]],Table2[[#This Row],[Date Created Conversion]])+1</f>
        <v>52</v>
      </c>
      <c r="Q807" t="b">
        <v>0</v>
      </c>
      <c r="R807" t="b">
        <v>0</v>
      </c>
      <c r="S807" t="s">
        <v>42</v>
      </c>
      <c r="T807" t="str">
        <f>_xlfn.TEXTBEFORE(Table2[[#This Row],[category &amp; sub-category]],"/")</f>
        <v>film &amp; video</v>
      </c>
      <c r="U807" t="str">
        <f>_xlfn.TEXTAFTER(Table2[[#This Row],[category &amp; sub-category]],"/")</f>
        <v>documentary</v>
      </c>
    </row>
    <row r="808" spans="1:21" ht="17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5">
        <f>100*Table2[[#This Row],[pledged]]/Table2[[#This Row],[goal]]</f>
        <v>1180.2857142857142</v>
      </c>
      <c r="G808" t="s">
        <v>20</v>
      </c>
      <c r="H808">
        <v>76</v>
      </c>
      <c r="I808" s="4">
        <f>IF(Table2[[#This Row],[pledged]]&gt;0,Table2[[#This Row],[pledged]]/Table2[[#This Row],[backers_count]],0)</f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8">
        <f t="shared" si="24"/>
        <v>40973.25</v>
      </c>
      <c r="O808" s="8">
        <f t="shared" si="25"/>
        <v>40997.208333333336</v>
      </c>
      <c r="P808" s="5">
        <f>_xlfn.DAYS(Table2[[#This Row],[Date Ended Conversion]],Table2[[#This Row],[Date Created Conversion]])+1</f>
        <v>25</v>
      </c>
      <c r="Q808" t="b">
        <v>0</v>
      </c>
      <c r="R808" t="b">
        <v>1</v>
      </c>
      <c r="S808" t="s">
        <v>53</v>
      </c>
      <c r="T808" t="str">
        <f>_xlfn.TEXTBEFORE(Table2[[#This Row],[category &amp; sub-category]],"/")</f>
        <v>film &amp; video</v>
      </c>
      <c r="U808" t="str">
        <f>_xlfn.TEXTAFTER(Table2[[#This Row],[category &amp; sub-category]],"/")</f>
        <v>drama</v>
      </c>
    </row>
    <row r="809" spans="1:21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5">
        <f>100*Table2[[#This Row],[pledged]]/Table2[[#This Row],[goal]]</f>
        <v>264</v>
      </c>
      <c r="G809" t="s">
        <v>20</v>
      </c>
      <c r="H809">
        <v>43</v>
      </c>
      <c r="I809" s="4">
        <f>IF(Table2[[#This Row],[pledged]]&gt;0,Table2[[#This Row],[pledged]]/Table2[[#This Row],[backers_count]],0)</f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8">
        <f t="shared" si="24"/>
        <v>43753.208333333328</v>
      </c>
      <c r="O809" s="8">
        <f t="shared" si="25"/>
        <v>43797.25</v>
      </c>
      <c r="P809" s="5">
        <f>_xlfn.DAYS(Table2[[#This Row],[Date Ended Conversion]],Table2[[#This Row],[Date Created Conversion]])+1</f>
        <v>45</v>
      </c>
      <c r="Q809" t="b">
        <v>0</v>
      </c>
      <c r="R809" t="b">
        <v>1</v>
      </c>
      <c r="S809" t="s">
        <v>33</v>
      </c>
      <c r="T809" t="str">
        <f>_xlfn.TEXTBEFORE(Table2[[#This Row],[category &amp; sub-category]],"/")</f>
        <v>theater</v>
      </c>
      <c r="U809" t="str">
        <f>_xlfn.TEXTAFTER(Table2[[#This Row],[category &amp; sub-category]],"/")</f>
        <v>plays</v>
      </c>
    </row>
    <row r="810" spans="1:21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5">
        <f>100*Table2[[#This Row],[pledged]]/Table2[[#This Row],[goal]]</f>
        <v>30.442307692307693</v>
      </c>
      <c r="G810" t="s">
        <v>14</v>
      </c>
      <c r="H810">
        <v>19</v>
      </c>
      <c r="I810" s="4">
        <f>IF(Table2[[#This Row],[pledged]]&gt;0,Table2[[#This Row],[pledged]]/Table2[[#This Row],[backers_count]],0)</f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8">
        <f t="shared" si="24"/>
        <v>42507.208333333328</v>
      </c>
      <c r="O810" s="8">
        <f t="shared" si="25"/>
        <v>42524.208333333328</v>
      </c>
      <c r="P810" s="5">
        <f>_xlfn.DAYS(Table2[[#This Row],[Date Ended Conversion]],Table2[[#This Row],[Date Created Conversion]])+1</f>
        <v>18</v>
      </c>
      <c r="Q810" t="b">
        <v>0</v>
      </c>
      <c r="R810" t="b">
        <v>0</v>
      </c>
      <c r="S810" t="s">
        <v>17</v>
      </c>
      <c r="T810" t="str">
        <f>_xlfn.TEXTBEFORE(Table2[[#This Row],[category &amp; sub-category]],"/")</f>
        <v>food</v>
      </c>
      <c r="U810" t="str">
        <f>_xlfn.TEXTAFTER(Table2[[#This Row],[category &amp; sub-category]],"/")</f>
        <v>food trucks</v>
      </c>
    </row>
    <row r="811" spans="1:21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5">
        <f>100*Table2[[#This Row],[pledged]]/Table2[[#This Row],[goal]]</f>
        <v>62.88068181818182</v>
      </c>
      <c r="G811" t="s">
        <v>14</v>
      </c>
      <c r="H811">
        <v>2108</v>
      </c>
      <c r="I811" s="4">
        <f>IF(Table2[[#This Row],[pledged]]&gt;0,Table2[[#This Row],[pledged]]/Table2[[#This Row],[backers_count]],0)</f>
        <v>42</v>
      </c>
      <c r="J811" t="s">
        <v>98</v>
      </c>
      <c r="K811" t="s">
        <v>99</v>
      </c>
      <c r="L811">
        <v>1344920400</v>
      </c>
      <c r="M811">
        <v>1345006800</v>
      </c>
      <c r="N811" s="8">
        <f t="shared" si="24"/>
        <v>41135.208333333336</v>
      </c>
      <c r="O811" s="8">
        <f t="shared" si="25"/>
        <v>41136.208333333336</v>
      </c>
      <c r="P811" s="5">
        <f>_xlfn.DAYS(Table2[[#This Row],[Date Ended Conversion]],Table2[[#This Row],[Date Created Conversion]])+1</f>
        <v>2</v>
      </c>
      <c r="Q811" t="b">
        <v>0</v>
      </c>
      <c r="R811" t="b">
        <v>0</v>
      </c>
      <c r="S811" t="s">
        <v>42</v>
      </c>
      <c r="T811" t="str">
        <f>_xlfn.TEXTBEFORE(Table2[[#This Row],[category &amp; sub-category]],"/")</f>
        <v>film &amp; video</v>
      </c>
      <c r="U811" t="str">
        <f>_xlfn.TEXTAFTER(Table2[[#This Row],[category &amp; sub-category]],"/")</f>
        <v>documentary</v>
      </c>
    </row>
    <row r="812" spans="1:21" ht="34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5">
        <f>100*Table2[[#This Row],[pledged]]/Table2[[#This Row],[goal]]</f>
        <v>193.125</v>
      </c>
      <c r="G812" t="s">
        <v>20</v>
      </c>
      <c r="H812">
        <v>221</v>
      </c>
      <c r="I812" s="4">
        <f>IF(Table2[[#This Row],[pledged]]&gt;0,Table2[[#This Row],[pledged]]/Table2[[#This Row],[backers_count]],0)</f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8">
        <f t="shared" si="24"/>
        <v>43067.25</v>
      </c>
      <c r="O812" s="8">
        <f t="shared" si="25"/>
        <v>43077.25</v>
      </c>
      <c r="P812" s="5">
        <f>_xlfn.DAYS(Table2[[#This Row],[Date Ended Conversion]],Table2[[#This Row],[Date Created Conversion]])+1</f>
        <v>11</v>
      </c>
      <c r="Q812" t="b">
        <v>0</v>
      </c>
      <c r="R812" t="b">
        <v>1</v>
      </c>
      <c r="S812" t="s">
        <v>33</v>
      </c>
      <c r="T812" t="str">
        <f>_xlfn.TEXTBEFORE(Table2[[#This Row],[category &amp; sub-category]],"/")</f>
        <v>theater</v>
      </c>
      <c r="U812" t="str">
        <f>_xlfn.TEXTAFTER(Table2[[#This Row],[category &amp; sub-category]],"/")</f>
        <v>plays</v>
      </c>
    </row>
    <row r="813" spans="1:21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5">
        <f>100*Table2[[#This Row],[pledged]]/Table2[[#This Row],[goal]]</f>
        <v>77.1027027027027</v>
      </c>
      <c r="G813" t="s">
        <v>14</v>
      </c>
      <c r="H813">
        <v>679</v>
      </c>
      <c r="I813" s="4">
        <f>IF(Table2[[#This Row],[pledged]]&gt;0,Table2[[#This Row],[pledged]]/Table2[[#This Row],[backers_count]],0)</f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8">
        <f t="shared" si="24"/>
        <v>42378.25</v>
      </c>
      <c r="O813" s="8">
        <f t="shared" si="25"/>
        <v>42380.25</v>
      </c>
      <c r="P813" s="5">
        <f>_xlfn.DAYS(Table2[[#This Row],[Date Ended Conversion]],Table2[[#This Row],[Date Created Conversion]])+1</f>
        <v>3</v>
      </c>
      <c r="Q813" t="b">
        <v>0</v>
      </c>
      <c r="R813" t="b">
        <v>1</v>
      </c>
      <c r="S813" t="s">
        <v>89</v>
      </c>
      <c r="T813" t="str">
        <f>_xlfn.TEXTBEFORE(Table2[[#This Row],[category &amp; sub-category]],"/")</f>
        <v>games</v>
      </c>
      <c r="U813" t="str">
        <f>_xlfn.TEXTAFTER(Table2[[#This Row],[category &amp; sub-category]],"/")</f>
        <v>video games</v>
      </c>
    </row>
    <row r="814" spans="1:21" ht="17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5">
        <f>100*Table2[[#This Row],[pledged]]/Table2[[#This Row],[goal]]</f>
        <v>225.52763819095478</v>
      </c>
      <c r="G814" t="s">
        <v>20</v>
      </c>
      <c r="H814">
        <v>2805</v>
      </c>
      <c r="I814" s="4">
        <f>IF(Table2[[#This Row],[pledged]]&gt;0,Table2[[#This Row],[pledged]]/Table2[[#This Row],[backers_count]],0)</f>
        <v>48</v>
      </c>
      <c r="J814" t="s">
        <v>15</v>
      </c>
      <c r="K814" t="s">
        <v>16</v>
      </c>
      <c r="L814">
        <v>1523854800</v>
      </c>
      <c r="M814">
        <v>1524286800</v>
      </c>
      <c r="N814" s="8">
        <f t="shared" si="24"/>
        <v>43206.208333333328</v>
      </c>
      <c r="O814" s="8">
        <f t="shared" si="25"/>
        <v>43211.208333333328</v>
      </c>
      <c r="P814" s="5">
        <f>_xlfn.DAYS(Table2[[#This Row],[Date Ended Conversion]],Table2[[#This Row],[Date Created Conversion]])+1</f>
        <v>6</v>
      </c>
      <c r="Q814" t="b">
        <v>0</v>
      </c>
      <c r="R814" t="b">
        <v>0</v>
      </c>
      <c r="S814" t="s">
        <v>68</v>
      </c>
      <c r="T814" t="str">
        <f>_xlfn.TEXTBEFORE(Table2[[#This Row],[category &amp; sub-category]],"/")</f>
        <v>publishing</v>
      </c>
      <c r="U814" t="str">
        <f>_xlfn.TEXTAFTER(Table2[[#This Row],[category &amp; sub-category]],"/")</f>
        <v>nonfiction</v>
      </c>
    </row>
    <row r="815" spans="1:21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5">
        <f>100*Table2[[#This Row],[pledged]]/Table2[[#This Row],[goal]]</f>
        <v>239.40625</v>
      </c>
      <c r="G815" t="s">
        <v>20</v>
      </c>
      <c r="H815">
        <v>68</v>
      </c>
      <c r="I815" s="4">
        <f>IF(Table2[[#This Row],[pledged]]&gt;0,Table2[[#This Row],[pledged]]/Table2[[#This Row],[backers_count]],0)</f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8">
        <f t="shared" si="24"/>
        <v>41148.208333333336</v>
      </c>
      <c r="O815" s="8">
        <f t="shared" si="25"/>
        <v>41158.208333333336</v>
      </c>
      <c r="P815" s="5">
        <f>_xlfn.DAYS(Table2[[#This Row],[Date Ended Conversion]],Table2[[#This Row],[Date Created Conversion]])+1</f>
        <v>11</v>
      </c>
      <c r="Q815" t="b">
        <v>0</v>
      </c>
      <c r="R815" t="b">
        <v>0</v>
      </c>
      <c r="S815" t="s">
        <v>89</v>
      </c>
      <c r="T815" t="str">
        <f>_xlfn.TEXTBEFORE(Table2[[#This Row],[category &amp; sub-category]],"/")</f>
        <v>games</v>
      </c>
      <c r="U815" t="str">
        <f>_xlfn.TEXTAFTER(Table2[[#This Row],[category &amp; sub-category]],"/")</f>
        <v>video games</v>
      </c>
    </row>
    <row r="816" spans="1:21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5">
        <f>100*Table2[[#This Row],[pledged]]/Table2[[#This Row],[goal]]</f>
        <v>92.1875</v>
      </c>
      <c r="G816" t="s">
        <v>14</v>
      </c>
      <c r="H816">
        <v>36</v>
      </c>
      <c r="I816" s="4">
        <f>IF(Table2[[#This Row],[pledged]]&gt;0,Table2[[#This Row],[pledged]]/Table2[[#This Row],[backers_count]],0)</f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8">
        <f t="shared" si="24"/>
        <v>42517.208333333328</v>
      </c>
      <c r="O816" s="8">
        <f t="shared" si="25"/>
        <v>42519.208333333328</v>
      </c>
      <c r="P816" s="5">
        <f>_xlfn.DAYS(Table2[[#This Row],[Date Ended Conversion]],Table2[[#This Row],[Date Created Conversion]])+1</f>
        <v>3</v>
      </c>
      <c r="Q816" t="b">
        <v>0</v>
      </c>
      <c r="R816" t="b">
        <v>1</v>
      </c>
      <c r="S816" t="s">
        <v>23</v>
      </c>
      <c r="T816" t="str">
        <f>_xlfn.TEXTBEFORE(Table2[[#This Row],[category &amp; sub-category]],"/")</f>
        <v>music</v>
      </c>
      <c r="U816" t="str">
        <f>_xlfn.TEXTAFTER(Table2[[#This Row],[category &amp; sub-category]],"/")</f>
        <v>rock</v>
      </c>
    </row>
    <row r="817" spans="1:21" ht="34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5">
        <f>100*Table2[[#This Row],[pledged]]/Table2[[#This Row],[goal]]</f>
        <v>130.23333333333332</v>
      </c>
      <c r="G817" t="s">
        <v>20</v>
      </c>
      <c r="H817">
        <v>183</v>
      </c>
      <c r="I817" s="4">
        <f>IF(Table2[[#This Row],[pledged]]&gt;0,Table2[[#This Row],[pledged]]/Table2[[#This Row],[backers_count]],0)</f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8">
        <f t="shared" si="24"/>
        <v>43068.25</v>
      </c>
      <c r="O817" s="8">
        <f t="shared" si="25"/>
        <v>43094.25</v>
      </c>
      <c r="P817" s="5">
        <f>_xlfn.DAYS(Table2[[#This Row],[Date Ended Conversion]],Table2[[#This Row],[Date Created Conversion]])+1</f>
        <v>27</v>
      </c>
      <c r="Q817" t="b">
        <v>0</v>
      </c>
      <c r="R817" t="b">
        <v>0</v>
      </c>
      <c r="S817" t="s">
        <v>23</v>
      </c>
      <c r="T817" t="str">
        <f>_xlfn.TEXTBEFORE(Table2[[#This Row],[category &amp; sub-category]],"/")</f>
        <v>music</v>
      </c>
      <c r="U817" t="str">
        <f>_xlfn.TEXTAFTER(Table2[[#This Row],[category &amp; sub-category]],"/")</f>
        <v>rock</v>
      </c>
    </row>
    <row r="818" spans="1:21" ht="34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5">
        <f>100*Table2[[#This Row],[pledged]]/Table2[[#This Row],[goal]]</f>
        <v>615.21739130434787</v>
      </c>
      <c r="G818" t="s">
        <v>20</v>
      </c>
      <c r="H818">
        <v>133</v>
      </c>
      <c r="I818" s="4">
        <f>IF(Table2[[#This Row],[pledged]]&gt;0,Table2[[#This Row],[pledged]]/Table2[[#This Row],[backers_count]],0)</f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8">
        <f t="shared" si="24"/>
        <v>41680.25</v>
      </c>
      <c r="O818" s="8">
        <f t="shared" si="25"/>
        <v>41682.25</v>
      </c>
      <c r="P818" s="5">
        <f>_xlfn.DAYS(Table2[[#This Row],[Date Ended Conversion]],Table2[[#This Row],[Date Created Conversion]])+1</f>
        <v>3</v>
      </c>
      <c r="Q818" t="b">
        <v>1</v>
      </c>
      <c r="R818" t="b">
        <v>1</v>
      </c>
      <c r="S818" t="s">
        <v>33</v>
      </c>
      <c r="T818" t="str">
        <f>_xlfn.TEXTBEFORE(Table2[[#This Row],[category &amp; sub-category]],"/")</f>
        <v>theater</v>
      </c>
      <c r="U818" t="str">
        <f>_xlfn.TEXTAFTER(Table2[[#This Row],[category &amp; sub-category]],"/")</f>
        <v>plays</v>
      </c>
    </row>
    <row r="819" spans="1:21" ht="17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5">
        <f>100*Table2[[#This Row],[pledged]]/Table2[[#This Row],[goal]]</f>
        <v>368.79532163742692</v>
      </c>
      <c r="G819" t="s">
        <v>20</v>
      </c>
      <c r="H819">
        <v>2489</v>
      </c>
      <c r="I819" s="4">
        <f>IF(Table2[[#This Row],[pledged]]&gt;0,Table2[[#This Row],[pledged]]/Table2[[#This Row],[backers_count]],0)</f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8">
        <f t="shared" si="24"/>
        <v>43589.208333333328</v>
      </c>
      <c r="O819" s="8">
        <f t="shared" si="25"/>
        <v>43617.208333333328</v>
      </c>
      <c r="P819" s="5">
        <f>_xlfn.DAYS(Table2[[#This Row],[Date Ended Conversion]],Table2[[#This Row],[Date Created Conversion]])+1</f>
        <v>29</v>
      </c>
      <c r="Q819" t="b">
        <v>0</v>
      </c>
      <c r="R819" t="b">
        <v>1</v>
      </c>
      <c r="S819" t="s">
        <v>68</v>
      </c>
      <c r="T819" t="str">
        <f>_xlfn.TEXTBEFORE(Table2[[#This Row],[category &amp; sub-category]],"/")</f>
        <v>publishing</v>
      </c>
      <c r="U819" t="str">
        <f>_xlfn.TEXTAFTER(Table2[[#This Row],[category &amp; sub-category]],"/")</f>
        <v>nonfiction</v>
      </c>
    </row>
    <row r="820" spans="1:21" ht="17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5">
        <f>100*Table2[[#This Row],[pledged]]/Table2[[#This Row],[goal]]</f>
        <v>1094.8571428571429</v>
      </c>
      <c r="G820" t="s">
        <v>20</v>
      </c>
      <c r="H820">
        <v>69</v>
      </c>
      <c r="I820" s="4">
        <f>IF(Table2[[#This Row],[pledged]]&gt;0,Table2[[#This Row],[pledged]]/Table2[[#This Row],[backers_count]],0)</f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8">
        <f t="shared" si="24"/>
        <v>43486.25</v>
      </c>
      <c r="O820" s="8">
        <f t="shared" si="25"/>
        <v>43499.25</v>
      </c>
      <c r="P820" s="5">
        <f>_xlfn.DAYS(Table2[[#This Row],[Date Ended Conversion]],Table2[[#This Row],[Date Created Conversion]])+1</f>
        <v>14</v>
      </c>
      <c r="Q820" t="b">
        <v>0</v>
      </c>
      <c r="R820" t="b">
        <v>1</v>
      </c>
      <c r="S820" t="s">
        <v>33</v>
      </c>
      <c r="T820" t="str">
        <f>_xlfn.TEXTBEFORE(Table2[[#This Row],[category &amp; sub-category]],"/")</f>
        <v>theater</v>
      </c>
      <c r="U820" t="str">
        <f>_xlfn.TEXTAFTER(Table2[[#This Row],[category &amp; sub-category]],"/")</f>
        <v>plays</v>
      </c>
    </row>
    <row r="821" spans="1:21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5">
        <f>100*Table2[[#This Row],[pledged]]/Table2[[#This Row],[goal]]</f>
        <v>50.662921348314605</v>
      </c>
      <c r="G821" t="s">
        <v>14</v>
      </c>
      <c r="H821">
        <v>47</v>
      </c>
      <c r="I821" s="4">
        <f>IF(Table2[[#This Row],[pledged]]&gt;0,Table2[[#This Row],[pledged]]/Table2[[#This Row],[backers_count]],0)</f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8">
        <f t="shared" si="24"/>
        <v>41237.25</v>
      </c>
      <c r="O821" s="8">
        <f t="shared" si="25"/>
        <v>41252.25</v>
      </c>
      <c r="P821" s="5">
        <f>_xlfn.DAYS(Table2[[#This Row],[Date Ended Conversion]],Table2[[#This Row],[Date Created Conversion]])+1</f>
        <v>16</v>
      </c>
      <c r="Q821" t="b">
        <v>1</v>
      </c>
      <c r="R821" t="b">
        <v>0</v>
      </c>
      <c r="S821" t="s">
        <v>89</v>
      </c>
      <c r="T821" t="str">
        <f>_xlfn.TEXTBEFORE(Table2[[#This Row],[category &amp; sub-category]],"/")</f>
        <v>games</v>
      </c>
      <c r="U821" t="str">
        <f>_xlfn.TEXTAFTER(Table2[[#This Row],[category &amp; sub-category]],"/")</f>
        <v>video games</v>
      </c>
    </row>
    <row r="822" spans="1:21" ht="17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5">
        <f>100*Table2[[#This Row],[pledged]]/Table2[[#This Row],[goal]]</f>
        <v>800.6</v>
      </c>
      <c r="G822" t="s">
        <v>20</v>
      </c>
      <c r="H822">
        <v>279</v>
      </c>
      <c r="I822" s="4">
        <f>IF(Table2[[#This Row],[pledged]]&gt;0,Table2[[#This Row],[pledged]]/Table2[[#This Row],[backers_count]],0)</f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8">
        <f t="shared" si="24"/>
        <v>43310.208333333328</v>
      </c>
      <c r="O822" s="8">
        <f t="shared" si="25"/>
        <v>43323.208333333328</v>
      </c>
      <c r="P822" s="5">
        <f>_xlfn.DAYS(Table2[[#This Row],[Date Ended Conversion]],Table2[[#This Row],[Date Created Conversion]])+1</f>
        <v>14</v>
      </c>
      <c r="Q822" t="b">
        <v>0</v>
      </c>
      <c r="R822" t="b">
        <v>1</v>
      </c>
      <c r="S822" t="s">
        <v>23</v>
      </c>
      <c r="T822" t="str">
        <f>_xlfn.TEXTBEFORE(Table2[[#This Row],[category &amp; sub-category]],"/")</f>
        <v>music</v>
      </c>
      <c r="U822" t="str">
        <f>_xlfn.TEXTAFTER(Table2[[#This Row],[category &amp; sub-category]],"/")</f>
        <v>rock</v>
      </c>
    </row>
    <row r="823" spans="1:21" ht="17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5">
        <f>100*Table2[[#This Row],[pledged]]/Table2[[#This Row],[goal]]</f>
        <v>291.28571428571428</v>
      </c>
      <c r="G823" t="s">
        <v>20</v>
      </c>
      <c r="H823">
        <v>210</v>
      </c>
      <c r="I823" s="4">
        <f>IF(Table2[[#This Row],[pledged]]&gt;0,Table2[[#This Row],[pledged]]/Table2[[#This Row],[backers_count]],0)</f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8">
        <f t="shared" si="24"/>
        <v>42794.25</v>
      </c>
      <c r="O823" s="8">
        <f t="shared" si="25"/>
        <v>42807.208333333328</v>
      </c>
      <c r="P823" s="5">
        <f>_xlfn.DAYS(Table2[[#This Row],[Date Ended Conversion]],Table2[[#This Row],[Date Created Conversion]])+1</f>
        <v>14</v>
      </c>
      <c r="Q823" t="b">
        <v>0</v>
      </c>
      <c r="R823" t="b">
        <v>0</v>
      </c>
      <c r="S823" t="s">
        <v>42</v>
      </c>
      <c r="T823" t="str">
        <f>_xlfn.TEXTBEFORE(Table2[[#This Row],[category &amp; sub-category]],"/")</f>
        <v>film &amp; video</v>
      </c>
      <c r="U823" t="str">
        <f>_xlfn.TEXTAFTER(Table2[[#This Row],[category &amp; sub-category]],"/")</f>
        <v>documentary</v>
      </c>
    </row>
    <row r="824" spans="1:21" ht="17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5">
        <f>100*Table2[[#This Row],[pledged]]/Table2[[#This Row],[goal]]</f>
        <v>349.96666666666664</v>
      </c>
      <c r="G824" t="s">
        <v>20</v>
      </c>
      <c r="H824">
        <v>2100</v>
      </c>
      <c r="I824" s="4">
        <f>IF(Table2[[#This Row],[pledged]]&gt;0,Table2[[#This Row],[pledged]]/Table2[[#This Row],[backers_count]],0)</f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8">
        <f t="shared" si="24"/>
        <v>41698.25</v>
      </c>
      <c r="O824" s="8">
        <f t="shared" si="25"/>
        <v>41715.208333333336</v>
      </c>
      <c r="P824" s="5">
        <f>_xlfn.DAYS(Table2[[#This Row],[Date Ended Conversion]],Table2[[#This Row],[Date Created Conversion]])+1</f>
        <v>18</v>
      </c>
      <c r="Q824" t="b">
        <v>0</v>
      </c>
      <c r="R824" t="b">
        <v>0</v>
      </c>
      <c r="S824" t="s">
        <v>23</v>
      </c>
      <c r="T824" t="str">
        <f>_xlfn.TEXTBEFORE(Table2[[#This Row],[category &amp; sub-category]],"/")</f>
        <v>music</v>
      </c>
      <c r="U824" t="str">
        <f>_xlfn.TEXTAFTER(Table2[[#This Row],[category &amp; sub-category]],"/")</f>
        <v>rock</v>
      </c>
    </row>
    <row r="825" spans="1:21" ht="34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5">
        <f>100*Table2[[#This Row],[pledged]]/Table2[[#This Row],[goal]]</f>
        <v>357.07317073170731</v>
      </c>
      <c r="G825" t="s">
        <v>20</v>
      </c>
      <c r="H825">
        <v>252</v>
      </c>
      <c r="I825" s="4">
        <f>IF(Table2[[#This Row],[pledged]]&gt;0,Table2[[#This Row],[pledged]]/Table2[[#This Row],[backers_count]],0)</f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8">
        <f t="shared" si="24"/>
        <v>41892.208333333336</v>
      </c>
      <c r="O825" s="8">
        <f t="shared" si="25"/>
        <v>41917.208333333336</v>
      </c>
      <c r="P825" s="5">
        <f>_xlfn.DAYS(Table2[[#This Row],[Date Ended Conversion]],Table2[[#This Row],[Date Created Conversion]])+1</f>
        <v>26</v>
      </c>
      <c r="Q825" t="b">
        <v>1</v>
      </c>
      <c r="R825" t="b">
        <v>1</v>
      </c>
      <c r="S825" t="s">
        <v>23</v>
      </c>
      <c r="T825" t="str">
        <f>_xlfn.TEXTBEFORE(Table2[[#This Row],[category &amp; sub-category]],"/")</f>
        <v>music</v>
      </c>
      <c r="U825" t="str">
        <f>_xlfn.TEXTAFTER(Table2[[#This Row],[category &amp; sub-category]],"/")</f>
        <v>rock</v>
      </c>
    </row>
    <row r="826" spans="1:21" ht="17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5">
        <f>100*Table2[[#This Row],[pledged]]/Table2[[#This Row],[goal]]</f>
        <v>126.48941176470588</v>
      </c>
      <c r="G826" t="s">
        <v>20</v>
      </c>
      <c r="H826">
        <v>1280</v>
      </c>
      <c r="I826" s="4">
        <f>IF(Table2[[#This Row],[pledged]]&gt;0,Table2[[#This Row],[pledged]]/Table2[[#This Row],[backers_count]],0)</f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8">
        <f t="shared" si="24"/>
        <v>40348.208333333336</v>
      </c>
      <c r="O826" s="8">
        <f t="shared" si="25"/>
        <v>40380.208333333336</v>
      </c>
      <c r="P826" s="5">
        <f>_xlfn.DAYS(Table2[[#This Row],[Date Ended Conversion]],Table2[[#This Row],[Date Created Conversion]])+1</f>
        <v>33</v>
      </c>
      <c r="Q826" t="b">
        <v>0</v>
      </c>
      <c r="R826" t="b">
        <v>1</v>
      </c>
      <c r="S826" t="s">
        <v>68</v>
      </c>
      <c r="T826" t="str">
        <f>_xlfn.TEXTBEFORE(Table2[[#This Row],[category &amp; sub-category]],"/")</f>
        <v>publishing</v>
      </c>
      <c r="U826" t="str">
        <f>_xlfn.TEXTAFTER(Table2[[#This Row],[category &amp; sub-category]],"/")</f>
        <v>nonfiction</v>
      </c>
    </row>
    <row r="827" spans="1:21" ht="17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5">
        <f>100*Table2[[#This Row],[pledged]]/Table2[[#This Row],[goal]]</f>
        <v>387.5</v>
      </c>
      <c r="G827" t="s">
        <v>20</v>
      </c>
      <c r="H827">
        <v>157</v>
      </c>
      <c r="I827" s="4">
        <f>IF(Table2[[#This Row],[pledged]]&gt;0,Table2[[#This Row],[pledged]]/Table2[[#This Row],[backers_count]],0)</f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8">
        <f t="shared" si="24"/>
        <v>42941.208333333328</v>
      </c>
      <c r="O827" s="8">
        <f t="shared" si="25"/>
        <v>42953.208333333328</v>
      </c>
      <c r="P827" s="5">
        <f>_xlfn.DAYS(Table2[[#This Row],[Date Ended Conversion]],Table2[[#This Row],[Date Created Conversion]])+1</f>
        <v>13</v>
      </c>
      <c r="Q827" t="b">
        <v>0</v>
      </c>
      <c r="R827" t="b">
        <v>0</v>
      </c>
      <c r="S827" t="s">
        <v>100</v>
      </c>
      <c r="T827" t="str">
        <f>_xlfn.TEXTBEFORE(Table2[[#This Row],[category &amp; sub-category]],"/")</f>
        <v>film &amp; video</v>
      </c>
      <c r="U827" t="str">
        <f>_xlfn.TEXTAFTER(Table2[[#This Row],[category &amp; sub-category]],"/")</f>
        <v>shorts</v>
      </c>
    </row>
    <row r="828" spans="1:21" ht="34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5">
        <f>100*Table2[[#This Row],[pledged]]/Table2[[#This Row],[goal]]</f>
        <v>457.03571428571428</v>
      </c>
      <c r="G828" t="s">
        <v>20</v>
      </c>
      <c r="H828">
        <v>194</v>
      </c>
      <c r="I828" s="4">
        <f>IF(Table2[[#This Row],[pledged]]&gt;0,Table2[[#This Row],[pledged]]/Table2[[#This Row],[backers_count]],0)</f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8">
        <f t="shared" si="24"/>
        <v>40525.25</v>
      </c>
      <c r="O828" s="8">
        <f t="shared" si="25"/>
        <v>40553.25</v>
      </c>
      <c r="P828" s="5">
        <f>_xlfn.DAYS(Table2[[#This Row],[Date Ended Conversion]],Table2[[#This Row],[Date Created Conversion]])+1</f>
        <v>29</v>
      </c>
      <c r="Q828" t="b">
        <v>0</v>
      </c>
      <c r="R828" t="b">
        <v>1</v>
      </c>
      <c r="S828" t="s">
        <v>33</v>
      </c>
      <c r="T828" t="str">
        <f>_xlfn.TEXTBEFORE(Table2[[#This Row],[category &amp; sub-category]],"/")</f>
        <v>theater</v>
      </c>
      <c r="U828" t="str">
        <f>_xlfn.TEXTAFTER(Table2[[#This Row],[category &amp; sub-category]],"/")</f>
        <v>plays</v>
      </c>
    </row>
    <row r="829" spans="1:21" ht="34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5">
        <f>100*Table2[[#This Row],[pledged]]/Table2[[#This Row],[goal]]</f>
        <v>266.69565217391306</v>
      </c>
      <c r="G829" t="s">
        <v>20</v>
      </c>
      <c r="H829">
        <v>82</v>
      </c>
      <c r="I829" s="4">
        <f>IF(Table2[[#This Row],[pledged]]&gt;0,Table2[[#This Row],[pledged]]/Table2[[#This Row],[backers_count]],0)</f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8">
        <f t="shared" si="24"/>
        <v>40666.208333333336</v>
      </c>
      <c r="O829" s="8">
        <f t="shared" si="25"/>
        <v>40678.208333333336</v>
      </c>
      <c r="P829" s="5">
        <f>_xlfn.DAYS(Table2[[#This Row],[Date Ended Conversion]],Table2[[#This Row],[Date Created Conversion]])+1</f>
        <v>13</v>
      </c>
      <c r="Q829" t="b">
        <v>0</v>
      </c>
      <c r="R829" t="b">
        <v>1</v>
      </c>
      <c r="S829" t="s">
        <v>53</v>
      </c>
      <c r="T829" t="str">
        <f>_xlfn.TEXTBEFORE(Table2[[#This Row],[category &amp; sub-category]],"/")</f>
        <v>film &amp; video</v>
      </c>
      <c r="U829" t="str">
        <f>_xlfn.TEXTAFTER(Table2[[#This Row],[category &amp; sub-category]],"/")</f>
        <v>drama</v>
      </c>
    </row>
    <row r="830" spans="1:21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5">
        <f>100*Table2[[#This Row],[pledged]]/Table2[[#This Row],[goal]]</f>
        <v>69</v>
      </c>
      <c r="G830" t="s">
        <v>14</v>
      </c>
      <c r="H830">
        <v>70</v>
      </c>
      <c r="I830" s="4">
        <f>IF(Table2[[#This Row],[pledged]]&gt;0,Table2[[#This Row],[pledged]]/Table2[[#This Row],[backers_count]],0)</f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8">
        <f t="shared" si="24"/>
        <v>43340.208333333328</v>
      </c>
      <c r="O830" s="8">
        <f t="shared" si="25"/>
        <v>43365.208333333328</v>
      </c>
      <c r="P830" s="5">
        <f>_xlfn.DAYS(Table2[[#This Row],[Date Ended Conversion]],Table2[[#This Row],[Date Created Conversion]])+1</f>
        <v>26</v>
      </c>
      <c r="Q830" t="b">
        <v>0</v>
      </c>
      <c r="R830" t="b">
        <v>0</v>
      </c>
      <c r="S830" t="s">
        <v>33</v>
      </c>
      <c r="T830" t="str">
        <f>_xlfn.TEXTBEFORE(Table2[[#This Row],[category &amp; sub-category]],"/")</f>
        <v>theater</v>
      </c>
      <c r="U830" t="str">
        <f>_xlfn.TEXTAFTER(Table2[[#This Row],[category &amp; sub-category]],"/")</f>
        <v>plays</v>
      </c>
    </row>
    <row r="831" spans="1:21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5">
        <f>100*Table2[[#This Row],[pledged]]/Table2[[#This Row],[goal]]</f>
        <v>51.34375</v>
      </c>
      <c r="G831" t="s">
        <v>14</v>
      </c>
      <c r="H831">
        <v>154</v>
      </c>
      <c r="I831" s="4">
        <f>IF(Table2[[#This Row],[pledged]]&gt;0,Table2[[#This Row],[pledged]]/Table2[[#This Row],[backers_count]],0)</f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8">
        <f t="shared" si="24"/>
        <v>42164.208333333328</v>
      </c>
      <c r="O831" s="8">
        <f t="shared" si="25"/>
        <v>42179.208333333328</v>
      </c>
      <c r="P831" s="5">
        <f>_xlfn.DAYS(Table2[[#This Row],[Date Ended Conversion]],Table2[[#This Row],[Date Created Conversion]])+1</f>
        <v>16</v>
      </c>
      <c r="Q831" t="b">
        <v>0</v>
      </c>
      <c r="R831" t="b">
        <v>0</v>
      </c>
      <c r="S831" t="s">
        <v>33</v>
      </c>
      <c r="T831" t="str">
        <f>_xlfn.TEXTBEFORE(Table2[[#This Row],[category &amp; sub-category]],"/")</f>
        <v>theater</v>
      </c>
      <c r="U831" t="str">
        <f>_xlfn.TEXTAFTER(Table2[[#This Row],[category &amp; sub-category]],"/")</f>
        <v>plays</v>
      </c>
    </row>
    <row r="832" spans="1:21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5">
        <f>100*Table2[[#This Row],[pledged]]/Table2[[#This Row],[goal]]</f>
        <v>1.1710526315789473</v>
      </c>
      <c r="G832" t="s">
        <v>14</v>
      </c>
      <c r="H832">
        <v>22</v>
      </c>
      <c r="I832" s="4">
        <f>IF(Table2[[#This Row],[pledged]]&gt;0,Table2[[#This Row],[pledged]]/Table2[[#This Row],[backers_count]],0)</f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8">
        <f t="shared" si="24"/>
        <v>43103.25</v>
      </c>
      <c r="O832" s="8">
        <f t="shared" si="25"/>
        <v>43162.25</v>
      </c>
      <c r="P832" s="5">
        <f>_xlfn.DAYS(Table2[[#This Row],[Date Ended Conversion]],Table2[[#This Row],[Date Created Conversion]])+1</f>
        <v>60</v>
      </c>
      <c r="Q832" t="b">
        <v>0</v>
      </c>
      <c r="R832" t="b">
        <v>0</v>
      </c>
      <c r="S832" t="s">
        <v>33</v>
      </c>
      <c r="T832" t="str">
        <f>_xlfn.TEXTBEFORE(Table2[[#This Row],[category &amp; sub-category]],"/")</f>
        <v>theater</v>
      </c>
      <c r="U832" t="str">
        <f>_xlfn.TEXTAFTER(Table2[[#This Row],[category &amp; sub-category]],"/")</f>
        <v>plays</v>
      </c>
    </row>
    <row r="833" spans="1:21" ht="34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5">
        <f>100*Table2[[#This Row],[pledged]]/Table2[[#This Row],[goal]]</f>
        <v>108.97734294541709</v>
      </c>
      <c r="G833" t="s">
        <v>20</v>
      </c>
      <c r="H833">
        <v>4233</v>
      </c>
      <c r="I833" s="4">
        <f>IF(Table2[[#This Row],[pledged]]&gt;0,Table2[[#This Row],[pledged]]/Table2[[#This Row],[backers_count]],0)</f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8">
        <f t="shared" si="24"/>
        <v>40994.208333333336</v>
      </c>
      <c r="O833" s="8">
        <f t="shared" si="25"/>
        <v>41028.208333333336</v>
      </c>
      <c r="P833" s="5">
        <f>_xlfn.DAYS(Table2[[#This Row],[Date Ended Conversion]],Table2[[#This Row],[Date Created Conversion]])+1</f>
        <v>35</v>
      </c>
      <c r="Q833" t="b">
        <v>0</v>
      </c>
      <c r="R833" t="b">
        <v>0</v>
      </c>
      <c r="S833" t="s">
        <v>122</v>
      </c>
      <c r="T833" t="str">
        <f>_xlfn.TEXTBEFORE(Table2[[#This Row],[category &amp; sub-category]],"/")</f>
        <v>photography</v>
      </c>
      <c r="U833" t="str">
        <f>_xlfn.TEXTAFTER(Table2[[#This Row],[category &amp; sub-category]],"/")</f>
        <v>photography books</v>
      </c>
    </row>
    <row r="834" spans="1:21" ht="17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5">
        <f>100*Table2[[#This Row],[pledged]]/Table2[[#This Row],[goal]]</f>
        <v>315.17592592592592</v>
      </c>
      <c r="G834" t="s">
        <v>20</v>
      </c>
      <c r="H834">
        <v>1297</v>
      </c>
      <c r="I834" s="4">
        <f>IF(Table2[[#This Row],[pledged]]&gt;0,Table2[[#This Row],[pledged]]/Table2[[#This Row],[backers_count]],0)</f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8">
        <f t="shared" ref="N834:N897" si="26">(((L834/60)/60)/24)+DATE(1970,1,1)</f>
        <v>42299.208333333328</v>
      </c>
      <c r="O834" s="8">
        <f t="shared" ref="O834:O897" si="27">(((M834/60)/60)/24)+DATE(1970,1,1)</f>
        <v>42333.25</v>
      </c>
      <c r="P834" s="5">
        <f>_xlfn.DAYS(Table2[[#This Row],[Date Ended Conversion]],Table2[[#This Row],[Date Created Conversion]])+1</f>
        <v>35</v>
      </c>
      <c r="Q834" t="b">
        <v>1</v>
      </c>
      <c r="R834" t="b">
        <v>0</v>
      </c>
      <c r="S834" t="s">
        <v>206</v>
      </c>
      <c r="T834" t="str">
        <f>_xlfn.TEXTBEFORE(Table2[[#This Row],[category &amp; sub-category]],"/")</f>
        <v>publishing</v>
      </c>
      <c r="U834" t="str">
        <f>_xlfn.TEXTAFTER(Table2[[#This Row],[category &amp; sub-category]],"/")</f>
        <v>translations</v>
      </c>
    </row>
    <row r="835" spans="1:21" ht="17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5">
        <f>100*Table2[[#This Row],[pledged]]/Table2[[#This Row],[goal]]</f>
        <v>157.69117647058823</v>
      </c>
      <c r="G835" t="s">
        <v>20</v>
      </c>
      <c r="H835">
        <v>165</v>
      </c>
      <c r="I835" s="4">
        <f>IF(Table2[[#This Row],[pledged]]&gt;0,Table2[[#This Row],[pledged]]/Table2[[#This Row],[backers_count]],0)</f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8">
        <f t="shared" si="26"/>
        <v>40588.25</v>
      </c>
      <c r="O835" s="8">
        <f t="shared" si="27"/>
        <v>40599.25</v>
      </c>
      <c r="P835" s="5">
        <f>_xlfn.DAYS(Table2[[#This Row],[Date Ended Conversion]],Table2[[#This Row],[Date Created Conversion]])+1</f>
        <v>12</v>
      </c>
      <c r="Q835" t="b">
        <v>0</v>
      </c>
      <c r="R835" t="b">
        <v>0</v>
      </c>
      <c r="S835" t="s">
        <v>206</v>
      </c>
      <c r="T835" t="str">
        <f>_xlfn.TEXTBEFORE(Table2[[#This Row],[category &amp; sub-category]],"/")</f>
        <v>publishing</v>
      </c>
      <c r="U835" t="str">
        <f>_xlfn.TEXTAFTER(Table2[[#This Row],[category &amp; sub-category]],"/")</f>
        <v>translations</v>
      </c>
    </row>
    <row r="836" spans="1:21" ht="17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5">
        <f>100*Table2[[#This Row],[pledged]]/Table2[[#This Row],[goal]]</f>
        <v>153.8082191780822</v>
      </c>
      <c r="G836" t="s">
        <v>20</v>
      </c>
      <c r="H836">
        <v>119</v>
      </c>
      <c r="I836" s="4">
        <f>IF(Table2[[#This Row],[pledged]]&gt;0,Table2[[#This Row],[pledged]]/Table2[[#This Row],[backers_count]],0)</f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8">
        <f t="shared" si="26"/>
        <v>41448.208333333336</v>
      </c>
      <c r="O836" s="8">
        <f t="shared" si="27"/>
        <v>41454.208333333336</v>
      </c>
      <c r="P836" s="5">
        <f>_xlfn.DAYS(Table2[[#This Row],[Date Ended Conversion]],Table2[[#This Row],[Date Created Conversion]])+1</f>
        <v>7</v>
      </c>
      <c r="Q836" t="b">
        <v>0</v>
      </c>
      <c r="R836" t="b">
        <v>0</v>
      </c>
      <c r="S836" t="s">
        <v>33</v>
      </c>
      <c r="T836" t="str">
        <f>_xlfn.TEXTBEFORE(Table2[[#This Row],[category &amp; sub-category]],"/")</f>
        <v>theater</v>
      </c>
      <c r="U836" t="str">
        <f>_xlfn.TEXTAFTER(Table2[[#This Row],[category &amp; sub-category]],"/")</f>
        <v>plays</v>
      </c>
    </row>
    <row r="837" spans="1:21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5">
        <f>100*Table2[[#This Row],[pledged]]/Table2[[#This Row],[goal]]</f>
        <v>89.738979118329468</v>
      </c>
      <c r="G837" t="s">
        <v>14</v>
      </c>
      <c r="H837">
        <v>1758</v>
      </c>
      <c r="I837" s="4">
        <f>IF(Table2[[#This Row],[pledged]]&gt;0,Table2[[#This Row],[pledged]]/Table2[[#This Row],[backers_count]],0)</f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8">
        <f t="shared" si="26"/>
        <v>42063.25</v>
      </c>
      <c r="O837" s="8">
        <f t="shared" si="27"/>
        <v>42069.25</v>
      </c>
      <c r="P837" s="5">
        <f>_xlfn.DAYS(Table2[[#This Row],[Date Ended Conversion]],Table2[[#This Row],[Date Created Conversion]])+1</f>
        <v>7</v>
      </c>
      <c r="Q837" t="b">
        <v>0</v>
      </c>
      <c r="R837" t="b">
        <v>0</v>
      </c>
      <c r="S837" t="s">
        <v>28</v>
      </c>
      <c r="T837" t="str">
        <f>_xlfn.TEXTBEFORE(Table2[[#This Row],[category &amp; sub-category]],"/")</f>
        <v>technology</v>
      </c>
      <c r="U837" t="str">
        <f>_xlfn.TEXTAFTER(Table2[[#This Row],[category &amp; sub-category]],"/")</f>
        <v>web</v>
      </c>
    </row>
    <row r="838" spans="1:21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5">
        <f>100*Table2[[#This Row],[pledged]]/Table2[[#This Row],[goal]]</f>
        <v>75.135802469135797</v>
      </c>
      <c r="G838" t="s">
        <v>14</v>
      </c>
      <c r="H838">
        <v>94</v>
      </c>
      <c r="I838" s="4">
        <f>IF(Table2[[#This Row],[pledged]]&gt;0,Table2[[#This Row],[pledged]]/Table2[[#This Row],[backers_count]],0)</f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8">
        <f t="shared" si="26"/>
        <v>40214.25</v>
      </c>
      <c r="O838" s="8">
        <f t="shared" si="27"/>
        <v>40225.25</v>
      </c>
      <c r="P838" s="5">
        <f>_xlfn.DAYS(Table2[[#This Row],[Date Ended Conversion]],Table2[[#This Row],[Date Created Conversion]])+1</f>
        <v>12</v>
      </c>
      <c r="Q838" t="b">
        <v>0</v>
      </c>
      <c r="R838" t="b">
        <v>0</v>
      </c>
      <c r="S838" t="s">
        <v>60</v>
      </c>
      <c r="T838" t="str">
        <f>_xlfn.TEXTBEFORE(Table2[[#This Row],[category &amp; sub-category]],"/")</f>
        <v>music</v>
      </c>
      <c r="U838" t="str">
        <f>_xlfn.TEXTAFTER(Table2[[#This Row],[category &amp; sub-category]],"/")</f>
        <v>indie rock</v>
      </c>
    </row>
    <row r="839" spans="1:21" ht="17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5">
        <f>100*Table2[[#This Row],[pledged]]/Table2[[#This Row],[goal]]</f>
        <v>852.88135593220341</v>
      </c>
      <c r="G839" t="s">
        <v>20</v>
      </c>
      <c r="H839">
        <v>1797</v>
      </c>
      <c r="I839" s="4">
        <f>IF(Table2[[#This Row],[pledged]]&gt;0,Table2[[#This Row],[pledged]]/Table2[[#This Row],[backers_count]],0)</f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8">
        <f t="shared" si="26"/>
        <v>40629.208333333336</v>
      </c>
      <c r="O839" s="8">
        <f t="shared" si="27"/>
        <v>40683.208333333336</v>
      </c>
      <c r="P839" s="5">
        <f>_xlfn.DAYS(Table2[[#This Row],[Date Ended Conversion]],Table2[[#This Row],[Date Created Conversion]])+1</f>
        <v>55</v>
      </c>
      <c r="Q839" t="b">
        <v>0</v>
      </c>
      <c r="R839" t="b">
        <v>0</v>
      </c>
      <c r="S839" t="s">
        <v>159</v>
      </c>
      <c r="T839" t="str">
        <f>_xlfn.TEXTBEFORE(Table2[[#This Row],[category &amp; sub-category]],"/")</f>
        <v>music</v>
      </c>
      <c r="U839" t="str">
        <f>_xlfn.TEXTAFTER(Table2[[#This Row],[category &amp; sub-category]],"/")</f>
        <v>jazz</v>
      </c>
    </row>
    <row r="840" spans="1:21" ht="17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5">
        <f>100*Table2[[#This Row],[pledged]]/Table2[[#This Row],[goal]]</f>
        <v>138.90625</v>
      </c>
      <c r="G840" t="s">
        <v>20</v>
      </c>
      <c r="H840">
        <v>261</v>
      </c>
      <c r="I840" s="4">
        <f>IF(Table2[[#This Row],[pledged]]&gt;0,Table2[[#This Row],[pledged]]/Table2[[#This Row],[backers_count]],0)</f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8">
        <f t="shared" si="26"/>
        <v>43370.208333333328</v>
      </c>
      <c r="O840" s="8">
        <f t="shared" si="27"/>
        <v>43379.208333333328</v>
      </c>
      <c r="P840" s="5">
        <f>_xlfn.DAYS(Table2[[#This Row],[Date Ended Conversion]],Table2[[#This Row],[Date Created Conversion]])+1</f>
        <v>10</v>
      </c>
      <c r="Q840" t="b">
        <v>0</v>
      </c>
      <c r="R840" t="b">
        <v>0</v>
      </c>
      <c r="S840" t="s">
        <v>33</v>
      </c>
      <c r="T840" t="str">
        <f>_xlfn.TEXTBEFORE(Table2[[#This Row],[category &amp; sub-category]],"/")</f>
        <v>theater</v>
      </c>
      <c r="U840" t="str">
        <f>_xlfn.TEXTAFTER(Table2[[#This Row],[category &amp; sub-category]],"/")</f>
        <v>plays</v>
      </c>
    </row>
    <row r="841" spans="1:21" ht="17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5">
        <f>100*Table2[[#This Row],[pledged]]/Table2[[#This Row],[goal]]</f>
        <v>190.18181818181819</v>
      </c>
      <c r="G841" t="s">
        <v>20</v>
      </c>
      <c r="H841">
        <v>157</v>
      </c>
      <c r="I841" s="4">
        <f>IF(Table2[[#This Row],[pledged]]&gt;0,Table2[[#This Row],[pledged]]/Table2[[#This Row],[backers_count]],0)</f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8">
        <f t="shared" si="26"/>
        <v>41715.208333333336</v>
      </c>
      <c r="O841" s="8">
        <f t="shared" si="27"/>
        <v>41760.208333333336</v>
      </c>
      <c r="P841" s="5">
        <f>_xlfn.DAYS(Table2[[#This Row],[Date Ended Conversion]],Table2[[#This Row],[Date Created Conversion]])+1</f>
        <v>46</v>
      </c>
      <c r="Q841" t="b">
        <v>0</v>
      </c>
      <c r="R841" t="b">
        <v>1</v>
      </c>
      <c r="S841" t="s">
        <v>42</v>
      </c>
      <c r="T841" t="str">
        <f>_xlfn.TEXTBEFORE(Table2[[#This Row],[category &amp; sub-category]],"/")</f>
        <v>film &amp; video</v>
      </c>
      <c r="U841" t="str">
        <f>_xlfn.TEXTAFTER(Table2[[#This Row],[category &amp; sub-category]],"/")</f>
        <v>documentary</v>
      </c>
    </row>
    <row r="842" spans="1:21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5">
        <f>100*Table2[[#This Row],[pledged]]/Table2[[#This Row],[goal]]</f>
        <v>100.24333619948409</v>
      </c>
      <c r="G842" t="s">
        <v>20</v>
      </c>
      <c r="H842">
        <v>3533</v>
      </c>
      <c r="I842" s="4">
        <f>IF(Table2[[#This Row],[pledged]]&gt;0,Table2[[#This Row],[pledged]]/Table2[[#This Row],[backers_count]],0)</f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8">
        <f t="shared" si="26"/>
        <v>41836.208333333336</v>
      </c>
      <c r="O842" s="8">
        <f t="shared" si="27"/>
        <v>41838.208333333336</v>
      </c>
      <c r="P842" s="5">
        <f>_xlfn.DAYS(Table2[[#This Row],[Date Ended Conversion]],Table2[[#This Row],[Date Created Conversion]])+1</f>
        <v>3</v>
      </c>
      <c r="Q842" t="b">
        <v>0</v>
      </c>
      <c r="R842" t="b">
        <v>1</v>
      </c>
      <c r="S842" t="s">
        <v>33</v>
      </c>
      <c r="T842" t="str">
        <f>_xlfn.TEXTBEFORE(Table2[[#This Row],[category &amp; sub-category]],"/")</f>
        <v>theater</v>
      </c>
      <c r="U842" t="str">
        <f>_xlfn.TEXTAFTER(Table2[[#This Row],[category &amp; sub-category]],"/")</f>
        <v>plays</v>
      </c>
    </row>
    <row r="843" spans="1:21" ht="17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5">
        <f>100*Table2[[#This Row],[pledged]]/Table2[[#This Row],[goal]]</f>
        <v>142.75824175824175</v>
      </c>
      <c r="G843" t="s">
        <v>20</v>
      </c>
      <c r="H843">
        <v>155</v>
      </c>
      <c r="I843" s="4">
        <f>IF(Table2[[#This Row],[pledged]]&gt;0,Table2[[#This Row],[pledged]]/Table2[[#This Row],[backers_count]],0)</f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8">
        <f t="shared" si="26"/>
        <v>42419.25</v>
      </c>
      <c r="O843" s="8">
        <f t="shared" si="27"/>
        <v>42435.25</v>
      </c>
      <c r="P843" s="5">
        <f>_xlfn.DAYS(Table2[[#This Row],[Date Ended Conversion]],Table2[[#This Row],[Date Created Conversion]])+1</f>
        <v>17</v>
      </c>
      <c r="Q843" t="b">
        <v>0</v>
      </c>
      <c r="R843" t="b">
        <v>0</v>
      </c>
      <c r="S843" t="s">
        <v>28</v>
      </c>
      <c r="T843" t="str">
        <f>_xlfn.TEXTBEFORE(Table2[[#This Row],[category &amp; sub-category]],"/")</f>
        <v>technology</v>
      </c>
      <c r="U843" t="str">
        <f>_xlfn.TEXTAFTER(Table2[[#This Row],[category &amp; sub-category]],"/")</f>
        <v>web</v>
      </c>
    </row>
    <row r="844" spans="1:21" ht="34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5">
        <f>100*Table2[[#This Row],[pledged]]/Table2[[#This Row],[goal]]</f>
        <v>563.13333333333333</v>
      </c>
      <c r="G844" t="s">
        <v>20</v>
      </c>
      <c r="H844">
        <v>132</v>
      </c>
      <c r="I844" s="4">
        <f>IF(Table2[[#This Row],[pledged]]&gt;0,Table2[[#This Row],[pledged]]/Table2[[#This Row],[backers_count]],0)</f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8">
        <f t="shared" si="26"/>
        <v>43266.208333333328</v>
      </c>
      <c r="O844" s="8">
        <f t="shared" si="27"/>
        <v>43269.208333333328</v>
      </c>
      <c r="P844" s="5">
        <f>_xlfn.DAYS(Table2[[#This Row],[Date Ended Conversion]],Table2[[#This Row],[Date Created Conversion]])+1</f>
        <v>4</v>
      </c>
      <c r="Q844" t="b">
        <v>0</v>
      </c>
      <c r="R844" t="b">
        <v>0</v>
      </c>
      <c r="S844" t="s">
        <v>65</v>
      </c>
      <c r="T844" t="str">
        <f>_xlfn.TEXTBEFORE(Table2[[#This Row],[category &amp; sub-category]],"/")</f>
        <v>technology</v>
      </c>
      <c r="U844" t="str">
        <f>_xlfn.TEXTAFTER(Table2[[#This Row],[category &amp; sub-category]],"/")</f>
        <v>wearables</v>
      </c>
    </row>
    <row r="845" spans="1:21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5">
        <f>100*Table2[[#This Row],[pledged]]/Table2[[#This Row],[goal]]</f>
        <v>30.71590909090909</v>
      </c>
      <c r="G845" t="s">
        <v>14</v>
      </c>
      <c r="H845">
        <v>33</v>
      </c>
      <c r="I845" s="4">
        <f>IF(Table2[[#This Row],[pledged]]&gt;0,Table2[[#This Row],[pledged]]/Table2[[#This Row],[backers_count]],0)</f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8">
        <f t="shared" si="26"/>
        <v>43338.208333333328</v>
      </c>
      <c r="O845" s="8">
        <f t="shared" si="27"/>
        <v>43344.208333333328</v>
      </c>
      <c r="P845" s="5">
        <f>_xlfn.DAYS(Table2[[#This Row],[Date Ended Conversion]],Table2[[#This Row],[Date Created Conversion]])+1</f>
        <v>7</v>
      </c>
      <c r="Q845" t="b">
        <v>0</v>
      </c>
      <c r="R845" t="b">
        <v>0</v>
      </c>
      <c r="S845" t="s">
        <v>122</v>
      </c>
      <c r="T845" t="str">
        <f>_xlfn.TEXTBEFORE(Table2[[#This Row],[category &amp; sub-category]],"/")</f>
        <v>photography</v>
      </c>
      <c r="U845" t="str">
        <f>_xlfn.TEXTAFTER(Table2[[#This Row],[category &amp; sub-category]],"/")</f>
        <v>photography books</v>
      </c>
    </row>
    <row r="846" spans="1:21" ht="17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5">
        <f>100*Table2[[#This Row],[pledged]]/Table2[[#This Row],[goal]]</f>
        <v>99.397727272727266</v>
      </c>
      <c r="G846" t="s">
        <v>74</v>
      </c>
      <c r="H846">
        <v>94</v>
      </c>
      <c r="I846" s="4">
        <f>IF(Table2[[#This Row],[pledged]]&gt;0,Table2[[#This Row],[pledged]]/Table2[[#This Row],[backers_count]],0)</f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8">
        <f t="shared" si="26"/>
        <v>40930.25</v>
      </c>
      <c r="O846" s="8">
        <f t="shared" si="27"/>
        <v>40933.25</v>
      </c>
      <c r="P846" s="5">
        <f>_xlfn.DAYS(Table2[[#This Row],[Date Ended Conversion]],Table2[[#This Row],[Date Created Conversion]])+1</f>
        <v>4</v>
      </c>
      <c r="Q846" t="b">
        <v>0</v>
      </c>
      <c r="R846" t="b">
        <v>0</v>
      </c>
      <c r="S846" t="s">
        <v>42</v>
      </c>
      <c r="T846" t="str">
        <f>_xlfn.TEXTBEFORE(Table2[[#This Row],[category &amp; sub-category]],"/")</f>
        <v>film &amp; video</v>
      </c>
      <c r="U846" t="str">
        <f>_xlfn.TEXTAFTER(Table2[[#This Row],[category &amp; sub-category]],"/")</f>
        <v>documentary</v>
      </c>
    </row>
    <row r="847" spans="1:21" ht="17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5">
        <f>100*Table2[[#This Row],[pledged]]/Table2[[#This Row],[goal]]</f>
        <v>197.54935622317598</v>
      </c>
      <c r="G847" t="s">
        <v>20</v>
      </c>
      <c r="H847">
        <v>1354</v>
      </c>
      <c r="I847" s="4">
        <f>IF(Table2[[#This Row],[pledged]]&gt;0,Table2[[#This Row],[pledged]]/Table2[[#This Row],[backers_count]],0)</f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8">
        <f t="shared" si="26"/>
        <v>43235.208333333328</v>
      </c>
      <c r="O847" s="8">
        <f t="shared" si="27"/>
        <v>43272.208333333328</v>
      </c>
      <c r="P847" s="5">
        <f>_xlfn.DAYS(Table2[[#This Row],[Date Ended Conversion]],Table2[[#This Row],[Date Created Conversion]])+1</f>
        <v>38</v>
      </c>
      <c r="Q847" t="b">
        <v>0</v>
      </c>
      <c r="R847" t="b">
        <v>0</v>
      </c>
      <c r="S847" t="s">
        <v>28</v>
      </c>
      <c r="T847" t="str">
        <f>_xlfn.TEXTBEFORE(Table2[[#This Row],[category &amp; sub-category]],"/")</f>
        <v>technology</v>
      </c>
      <c r="U847" t="str">
        <f>_xlfn.TEXTAFTER(Table2[[#This Row],[category &amp; sub-category]],"/")</f>
        <v>web</v>
      </c>
    </row>
    <row r="848" spans="1:21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5">
        <f>100*Table2[[#This Row],[pledged]]/Table2[[#This Row],[goal]]</f>
        <v>508.5</v>
      </c>
      <c r="G848" t="s">
        <v>20</v>
      </c>
      <c r="H848">
        <v>48</v>
      </c>
      <c r="I848" s="4">
        <f>IF(Table2[[#This Row],[pledged]]&gt;0,Table2[[#This Row],[pledged]]/Table2[[#This Row],[backers_count]],0)</f>
        <v>105.9375</v>
      </c>
      <c r="J848" t="s">
        <v>21</v>
      </c>
      <c r="K848" t="s">
        <v>22</v>
      </c>
      <c r="L848">
        <v>1532149200</v>
      </c>
      <c r="M848">
        <v>1535259600</v>
      </c>
      <c r="N848" s="8">
        <f t="shared" si="26"/>
        <v>43302.208333333328</v>
      </c>
      <c r="O848" s="8">
        <f t="shared" si="27"/>
        <v>43338.208333333328</v>
      </c>
      <c r="P848" s="5">
        <f>_xlfn.DAYS(Table2[[#This Row],[Date Ended Conversion]],Table2[[#This Row],[Date Created Conversion]])+1</f>
        <v>37</v>
      </c>
      <c r="Q848" t="b">
        <v>1</v>
      </c>
      <c r="R848" t="b">
        <v>1</v>
      </c>
      <c r="S848" t="s">
        <v>28</v>
      </c>
      <c r="T848" t="str">
        <f>_xlfn.TEXTBEFORE(Table2[[#This Row],[category &amp; sub-category]],"/")</f>
        <v>technology</v>
      </c>
      <c r="U848" t="str">
        <f>_xlfn.TEXTAFTER(Table2[[#This Row],[category &amp; sub-category]],"/")</f>
        <v>web</v>
      </c>
    </row>
    <row r="849" spans="1:21" ht="17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5">
        <f>100*Table2[[#This Row],[pledged]]/Table2[[#This Row],[goal]]</f>
        <v>237.74468085106383</v>
      </c>
      <c r="G849" t="s">
        <v>20</v>
      </c>
      <c r="H849">
        <v>110</v>
      </c>
      <c r="I849" s="4">
        <f>IF(Table2[[#This Row],[pledged]]&gt;0,Table2[[#This Row],[pledged]]/Table2[[#This Row],[backers_count]],0)</f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8">
        <f t="shared" si="26"/>
        <v>43107.25</v>
      </c>
      <c r="O849" s="8">
        <f t="shared" si="27"/>
        <v>43110.25</v>
      </c>
      <c r="P849" s="5">
        <f>_xlfn.DAYS(Table2[[#This Row],[Date Ended Conversion]],Table2[[#This Row],[Date Created Conversion]])+1</f>
        <v>4</v>
      </c>
      <c r="Q849" t="b">
        <v>0</v>
      </c>
      <c r="R849" t="b">
        <v>0</v>
      </c>
      <c r="S849" t="s">
        <v>17</v>
      </c>
      <c r="T849" t="str">
        <f>_xlfn.TEXTBEFORE(Table2[[#This Row],[category &amp; sub-category]],"/")</f>
        <v>food</v>
      </c>
      <c r="U849" t="str">
        <f>_xlfn.TEXTAFTER(Table2[[#This Row],[category &amp; sub-category]],"/")</f>
        <v>food trucks</v>
      </c>
    </row>
    <row r="850" spans="1:21" ht="17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5">
        <f>100*Table2[[#This Row],[pledged]]/Table2[[#This Row],[goal]]</f>
        <v>338.46875</v>
      </c>
      <c r="G850" t="s">
        <v>20</v>
      </c>
      <c r="H850">
        <v>172</v>
      </c>
      <c r="I850" s="4">
        <f>IF(Table2[[#This Row],[pledged]]&gt;0,Table2[[#This Row],[pledged]]/Table2[[#This Row],[backers_count]],0)</f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8">
        <f t="shared" si="26"/>
        <v>40341.208333333336</v>
      </c>
      <c r="O850" s="8">
        <f t="shared" si="27"/>
        <v>40350.208333333336</v>
      </c>
      <c r="P850" s="5">
        <f>_xlfn.DAYS(Table2[[#This Row],[Date Ended Conversion]],Table2[[#This Row],[Date Created Conversion]])+1</f>
        <v>10</v>
      </c>
      <c r="Q850" t="b">
        <v>0</v>
      </c>
      <c r="R850" t="b">
        <v>0</v>
      </c>
      <c r="S850" t="s">
        <v>53</v>
      </c>
      <c r="T850" t="str">
        <f>_xlfn.TEXTBEFORE(Table2[[#This Row],[category &amp; sub-category]],"/")</f>
        <v>film &amp; video</v>
      </c>
      <c r="U850" t="str">
        <f>_xlfn.TEXTAFTER(Table2[[#This Row],[category &amp; sub-category]],"/")</f>
        <v>drama</v>
      </c>
    </row>
    <row r="851" spans="1:21" ht="17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5">
        <f>100*Table2[[#This Row],[pledged]]/Table2[[#This Row],[goal]]</f>
        <v>133.08955223880596</v>
      </c>
      <c r="G851" t="s">
        <v>20</v>
      </c>
      <c r="H851">
        <v>307</v>
      </c>
      <c r="I851" s="4">
        <f>IF(Table2[[#This Row],[pledged]]&gt;0,Table2[[#This Row],[pledged]]/Table2[[#This Row],[backers_count]],0)</f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8">
        <f t="shared" si="26"/>
        <v>40948.25</v>
      </c>
      <c r="O851" s="8">
        <f t="shared" si="27"/>
        <v>40951.25</v>
      </c>
      <c r="P851" s="5">
        <f>_xlfn.DAYS(Table2[[#This Row],[Date Ended Conversion]],Table2[[#This Row],[Date Created Conversion]])+1</f>
        <v>4</v>
      </c>
      <c r="Q851" t="b">
        <v>0</v>
      </c>
      <c r="R851" t="b">
        <v>1</v>
      </c>
      <c r="S851" t="s">
        <v>60</v>
      </c>
      <c r="T851" t="str">
        <f>_xlfn.TEXTBEFORE(Table2[[#This Row],[category &amp; sub-category]],"/")</f>
        <v>music</v>
      </c>
      <c r="U851" t="str">
        <f>_xlfn.TEXTAFTER(Table2[[#This Row],[category &amp; sub-category]],"/")</f>
        <v>indie rock</v>
      </c>
    </row>
    <row r="852" spans="1:21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5">
        <f>100*Table2[[#This Row],[pledged]]/Table2[[#This Row],[goal]]</f>
        <v>1</v>
      </c>
      <c r="G852" t="s">
        <v>14</v>
      </c>
      <c r="H852">
        <v>1</v>
      </c>
      <c r="I852" s="4">
        <f>IF(Table2[[#This Row],[pledged]]&gt;0,Table2[[#This Row],[pledged]]/Table2[[#This Row],[backers_count]],0)</f>
        <v>1</v>
      </c>
      <c r="J852" t="s">
        <v>21</v>
      </c>
      <c r="K852" t="s">
        <v>22</v>
      </c>
      <c r="L852">
        <v>1321682400</v>
      </c>
      <c r="M852">
        <v>1322978400</v>
      </c>
      <c r="N852" s="8">
        <f t="shared" si="26"/>
        <v>40866.25</v>
      </c>
      <c r="O852" s="8">
        <f t="shared" si="27"/>
        <v>40881.25</v>
      </c>
      <c r="P852" s="5">
        <f>_xlfn.DAYS(Table2[[#This Row],[Date Ended Conversion]],Table2[[#This Row],[Date Created Conversion]])+1</f>
        <v>16</v>
      </c>
      <c r="Q852" t="b">
        <v>1</v>
      </c>
      <c r="R852" t="b">
        <v>0</v>
      </c>
      <c r="S852" t="s">
        <v>23</v>
      </c>
      <c r="T852" t="str">
        <f>_xlfn.TEXTBEFORE(Table2[[#This Row],[category &amp; sub-category]],"/")</f>
        <v>music</v>
      </c>
      <c r="U852" t="str">
        <f>_xlfn.TEXTAFTER(Table2[[#This Row],[category &amp; sub-category]],"/")</f>
        <v>rock</v>
      </c>
    </row>
    <row r="853" spans="1:21" ht="34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5">
        <f>100*Table2[[#This Row],[pledged]]/Table2[[#This Row],[goal]]</f>
        <v>207.8</v>
      </c>
      <c r="G853" t="s">
        <v>20</v>
      </c>
      <c r="H853">
        <v>160</v>
      </c>
      <c r="I853" s="4">
        <f>IF(Table2[[#This Row],[pledged]]&gt;0,Table2[[#This Row],[pledged]]/Table2[[#This Row],[backers_count]],0)</f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8">
        <f t="shared" si="26"/>
        <v>41031.208333333336</v>
      </c>
      <c r="O853" s="8">
        <f t="shared" si="27"/>
        <v>41064.208333333336</v>
      </c>
      <c r="P853" s="5">
        <f>_xlfn.DAYS(Table2[[#This Row],[Date Ended Conversion]],Table2[[#This Row],[Date Created Conversion]])+1</f>
        <v>34</v>
      </c>
      <c r="Q853" t="b">
        <v>0</v>
      </c>
      <c r="R853" t="b">
        <v>0</v>
      </c>
      <c r="S853" t="s">
        <v>50</v>
      </c>
      <c r="T853" t="str">
        <f>_xlfn.TEXTBEFORE(Table2[[#This Row],[category &amp; sub-category]],"/")</f>
        <v>music</v>
      </c>
      <c r="U853" t="str">
        <f>_xlfn.TEXTAFTER(Table2[[#This Row],[category &amp; sub-category]],"/")</f>
        <v>electric music</v>
      </c>
    </row>
    <row r="854" spans="1:21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5">
        <f>100*Table2[[#This Row],[pledged]]/Table2[[#This Row],[goal]]</f>
        <v>51.122448979591837</v>
      </c>
      <c r="G854" t="s">
        <v>14</v>
      </c>
      <c r="H854">
        <v>31</v>
      </c>
      <c r="I854" s="4">
        <f>IF(Table2[[#This Row],[pledged]]&gt;0,Table2[[#This Row],[pledged]]/Table2[[#This Row],[backers_count]],0)</f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8">
        <f t="shared" si="26"/>
        <v>40740.208333333336</v>
      </c>
      <c r="O854" s="8">
        <f t="shared" si="27"/>
        <v>40750.208333333336</v>
      </c>
      <c r="P854" s="5">
        <f>_xlfn.DAYS(Table2[[#This Row],[Date Ended Conversion]],Table2[[#This Row],[Date Created Conversion]])+1</f>
        <v>11</v>
      </c>
      <c r="Q854" t="b">
        <v>0</v>
      </c>
      <c r="R854" t="b">
        <v>1</v>
      </c>
      <c r="S854" t="s">
        <v>89</v>
      </c>
      <c r="T854" t="str">
        <f>_xlfn.TEXTBEFORE(Table2[[#This Row],[category &amp; sub-category]],"/")</f>
        <v>games</v>
      </c>
      <c r="U854" t="str">
        <f>_xlfn.TEXTAFTER(Table2[[#This Row],[category &amp; sub-category]],"/")</f>
        <v>video games</v>
      </c>
    </row>
    <row r="855" spans="1:21" ht="17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5">
        <f>100*Table2[[#This Row],[pledged]]/Table2[[#This Row],[goal]]</f>
        <v>652.05847953216369</v>
      </c>
      <c r="G855" t="s">
        <v>20</v>
      </c>
      <c r="H855">
        <v>1467</v>
      </c>
      <c r="I855" s="4">
        <f>IF(Table2[[#This Row],[pledged]]&gt;0,Table2[[#This Row],[pledged]]/Table2[[#This Row],[backers_count]],0)</f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8">
        <f t="shared" si="26"/>
        <v>40714.208333333336</v>
      </c>
      <c r="O855" s="8">
        <f t="shared" si="27"/>
        <v>40719.208333333336</v>
      </c>
      <c r="P855" s="5">
        <f>_xlfn.DAYS(Table2[[#This Row],[Date Ended Conversion]],Table2[[#This Row],[Date Created Conversion]])+1</f>
        <v>6</v>
      </c>
      <c r="Q855" t="b">
        <v>0</v>
      </c>
      <c r="R855" t="b">
        <v>1</v>
      </c>
      <c r="S855" t="s">
        <v>60</v>
      </c>
      <c r="T855" t="str">
        <f>_xlfn.TEXTBEFORE(Table2[[#This Row],[category &amp; sub-category]],"/")</f>
        <v>music</v>
      </c>
      <c r="U855" t="str">
        <f>_xlfn.TEXTAFTER(Table2[[#This Row],[category &amp; sub-category]],"/")</f>
        <v>indie rock</v>
      </c>
    </row>
    <row r="856" spans="1:21" ht="34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5">
        <f>100*Table2[[#This Row],[pledged]]/Table2[[#This Row],[goal]]</f>
        <v>113.63099415204678</v>
      </c>
      <c r="G856" t="s">
        <v>20</v>
      </c>
      <c r="H856">
        <v>2662</v>
      </c>
      <c r="I856" s="4">
        <f>IF(Table2[[#This Row],[pledged]]&gt;0,Table2[[#This Row],[pledged]]/Table2[[#This Row],[backers_count]],0)</f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8">
        <f t="shared" si="26"/>
        <v>43787.25</v>
      </c>
      <c r="O856" s="8">
        <f t="shared" si="27"/>
        <v>43814.25</v>
      </c>
      <c r="P856" s="5">
        <f>_xlfn.DAYS(Table2[[#This Row],[Date Ended Conversion]],Table2[[#This Row],[Date Created Conversion]])+1</f>
        <v>28</v>
      </c>
      <c r="Q856" t="b">
        <v>0</v>
      </c>
      <c r="R856" t="b">
        <v>0</v>
      </c>
      <c r="S856" t="s">
        <v>119</v>
      </c>
      <c r="T856" t="str">
        <f>_xlfn.TEXTBEFORE(Table2[[#This Row],[category &amp; sub-category]],"/")</f>
        <v>publishing</v>
      </c>
      <c r="U856" t="str">
        <f>_xlfn.TEXTAFTER(Table2[[#This Row],[category &amp; sub-category]],"/")</f>
        <v>fiction</v>
      </c>
    </row>
    <row r="857" spans="1:21" ht="17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5">
        <f>100*Table2[[#This Row],[pledged]]/Table2[[#This Row],[goal]]</f>
        <v>102.37606837606837</v>
      </c>
      <c r="G857" t="s">
        <v>20</v>
      </c>
      <c r="H857">
        <v>452</v>
      </c>
      <c r="I857" s="4">
        <f>IF(Table2[[#This Row],[pledged]]&gt;0,Table2[[#This Row],[pledged]]/Table2[[#This Row],[backers_count]],0)</f>
        <v>53</v>
      </c>
      <c r="J857" t="s">
        <v>26</v>
      </c>
      <c r="K857" t="s">
        <v>27</v>
      </c>
      <c r="L857">
        <v>1308373200</v>
      </c>
      <c r="M857">
        <v>1311051600</v>
      </c>
      <c r="N857" s="8">
        <f t="shared" si="26"/>
        <v>40712.208333333336</v>
      </c>
      <c r="O857" s="8">
        <f t="shared" si="27"/>
        <v>40743.208333333336</v>
      </c>
      <c r="P857" s="5">
        <f>_xlfn.DAYS(Table2[[#This Row],[Date Ended Conversion]],Table2[[#This Row],[Date Created Conversion]])+1</f>
        <v>32</v>
      </c>
      <c r="Q857" t="b">
        <v>0</v>
      </c>
      <c r="R857" t="b">
        <v>0</v>
      </c>
      <c r="S857" t="s">
        <v>33</v>
      </c>
      <c r="T857" t="str">
        <f>_xlfn.TEXTBEFORE(Table2[[#This Row],[category &amp; sub-category]],"/")</f>
        <v>theater</v>
      </c>
      <c r="U857" t="str">
        <f>_xlfn.TEXTAFTER(Table2[[#This Row],[category &amp; sub-category]],"/")</f>
        <v>plays</v>
      </c>
    </row>
    <row r="858" spans="1:21" ht="17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5">
        <f>100*Table2[[#This Row],[pledged]]/Table2[[#This Row],[goal]]</f>
        <v>356.58333333333331</v>
      </c>
      <c r="G858" t="s">
        <v>20</v>
      </c>
      <c r="H858">
        <v>158</v>
      </c>
      <c r="I858" s="4">
        <f>IF(Table2[[#This Row],[pledged]]&gt;0,Table2[[#This Row],[pledged]]/Table2[[#This Row],[backers_count]],0)</f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8">
        <f t="shared" si="26"/>
        <v>41023.208333333336</v>
      </c>
      <c r="O858" s="8">
        <f t="shared" si="27"/>
        <v>41040.208333333336</v>
      </c>
      <c r="P858" s="5">
        <f>_xlfn.DAYS(Table2[[#This Row],[Date Ended Conversion]],Table2[[#This Row],[Date Created Conversion]])+1</f>
        <v>18</v>
      </c>
      <c r="Q858" t="b">
        <v>0</v>
      </c>
      <c r="R858" t="b">
        <v>0</v>
      </c>
      <c r="S858" t="s">
        <v>17</v>
      </c>
      <c r="T858" t="str">
        <f>_xlfn.TEXTBEFORE(Table2[[#This Row],[category &amp; sub-category]],"/")</f>
        <v>food</v>
      </c>
      <c r="U858" t="str">
        <f>_xlfn.TEXTAFTER(Table2[[#This Row],[category &amp; sub-category]],"/")</f>
        <v>food trucks</v>
      </c>
    </row>
    <row r="859" spans="1:21" ht="34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5">
        <f>100*Table2[[#This Row],[pledged]]/Table2[[#This Row],[goal]]</f>
        <v>139.8679245283019</v>
      </c>
      <c r="G859" t="s">
        <v>20</v>
      </c>
      <c r="H859">
        <v>225</v>
      </c>
      <c r="I859" s="4">
        <f>IF(Table2[[#This Row],[pledged]]&gt;0,Table2[[#This Row],[pledged]]/Table2[[#This Row],[backers_count]],0)</f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8">
        <f t="shared" si="26"/>
        <v>40944.25</v>
      </c>
      <c r="O859" s="8">
        <f t="shared" si="27"/>
        <v>40967.25</v>
      </c>
      <c r="P859" s="5">
        <f>_xlfn.DAYS(Table2[[#This Row],[Date Ended Conversion]],Table2[[#This Row],[Date Created Conversion]])+1</f>
        <v>24</v>
      </c>
      <c r="Q859" t="b">
        <v>1</v>
      </c>
      <c r="R859" t="b">
        <v>0</v>
      </c>
      <c r="S859" t="s">
        <v>100</v>
      </c>
      <c r="T859" t="str">
        <f>_xlfn.TEXTBEFORE(Table2[[#This Row],[category &amp; sub-category]],"/")</f>
        <v>film &amp; video</v>
      </c>
      <c r="U859" t="str">
        <f>_xlfn.TEXTAFTER(Table2[[#This Row],[category &amp; sub-category]],"/")</f>
        <v>shorts</v>
      </c>
    </row>
    <row r="860" spans="1:21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5">
        <f>100*Table2[[#This Row],[pledged]]/Table2[[#This Row],[goal]]</f>
        <v>69.45</v>
      </c>
      <c r="G860" t="s">
        <v>14</v>
      </c>
      <c r="H860">
        <v>35</v>
      </c>
      <c r="I860" s="4">
        <f>IF(Table2[[#This Row],[pledged]]&gt;0,Table2[[#This Row],[pledged]]/Table2[[#This Row],[backers_count]],0)</f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8">
        <f t="shared" si="26"/>
        <v>43211.208333333328</v>
      </c>
      <c r="O860" s="8">
        <f t="shared" si="27"/>
        <v>43218.208333333328</v>
      </c>
      <c r="P860" s="5">
        <f>_xlfn.DAYS(Table2[[#This Row],[Date Ended Conversion]],Table2[[#This Row],[Date Created Conversion]])+1</f>
        <v>8</v>
      </c>
      <c r="Q860" t="b">
        <v>1</v>
      </c>
      <c r="R860" t="b">
        <v>0</v>
      </c>
      <c r="S860" t="s">
        <v>17</v>
      </c>
      <c r="T860" t="str">
        <f>_xlfn.TEXTBEFORE(Table2[[#This Row],[category &amp; sub-category]],"/")</f>
        <v>food</v>
      </c>
      <c r="U860" t="str">
        <f>_xlfn.TEXTAFTER(Table2[[#This Row],[category &amp; sub-category]],"/")</f>
        <v>food trucks</v>
      </c>
    </row>
    <row r="861" spans="1:21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5">
        <f>100*Table2[[#This Row],[pledged]]/Table2[[#This Row],[goal]]</f>
        <v>35.534246575342465</v>
      </c>
      <c r="G861" t="s">
        <v>14</v>
      </c>
      <c r="H861">
        <v>63</v>
      </c>
      <c r="I861" s="4">
        <f>IF(Table2[[#This Row],[pledged]]&gt;0,Table2[[#This Row],[pledged]]/Table2[[#This Row],[backers_count]],0)</f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8">
        <f t="shared" si="26"/>
        <v>41334.25</v>
      </c>
      <c r="O861" s="8">
        <f t="shared" si="27"/>
        <v>41352.208333333336</v>
      </c>
      <c r="P861" s="5">
        <f>_xlfn.DAYS(Table2[[#This Row],[Date Ended Conversion]],Table2[[#This Row],[Date Created Conversion]])+1</f>
        <v>19</v>
      </c>
      <c r="Q861" t="b">
        <v>0</v>
      </c>
      <c r="R861" t="b">
        <v>1</v>
      </c>
      <c r="S861" t="s">
        <v>33</v>
      </c>
      <c r="T861" t="str">
        <f>_xlfn.TEXTBEFORE(Table2[[#This Row],[category &amp; sub-category]],"/")</f>
        <v>theater</v>
      </c>
      <c r="U861" t="str">
        <f>_xlfn.TEXTAFTER(Table2[[#This Row],[category &amp; sub-category]],"/")</f>
        <v>plays</v>
      </c>
    </row>
    <row r="862" spans="1:21" ht="34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5">
        <f>100*Table2[[#This Row],[pledged]]/Table2[[#This Row],[goal]]</f>
        <v>251.65</v>
      </c>
      <c r="G862" t="s">
        <v>20</v>
      </c>
      <c r="H862">
        <v>65</v>
      </c>
      <c r="I862" s="4">
        <f>IF(Table2[[#This Row],[pledged]]&gt;0,Table2[[#This Row],[pledged]]/Table2[[#This Row],[backers_count]],0)</f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8">
        <f t="shared" si="26"/>
        <v>43515.25</v>
      </c>
      <c r="O862" s="8">
        <f t="shared" si="27"/>
        <v>43525.25</v>
      </c>
      <c r="P862" s="5">
        <f>_xlfn.DAYS(Table2[[#This Row],[Date Ended Conversion]],Table2[[#This Row],[Date Created Conversion]])+1</f>
        <v>11</v>
      </c>
      <c r="Q862" t="b">
        <v>0</v>
      </c>
      <c r="R862" t="b">
        <v>1</v>
      </c>
      <c r="S862" t="s">
        <v>65</v>
      </c>
      <c r="T862" t="str">
        <f>_xlfn.TEXTBEFORE(Table2[[#This Row],[category &amp; sub-category]],"/")</f>
        <v>technology</v>
      </c>
      <c r="U862" t="str">
        <f>_xlfn.TEXTAFTER(Table2[[#This Row],[category &amp; sub-category]],"/")</f>
        <v>wearables</v>
      </c>
    </row>
    <row r="863" spans="1:21" ht="17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5">
        <f>100*Table2[[#This Row],[pledged]]/Table2[[#This Row],[goal]]</f>
        <v>105.875</v>
      </c>
      <c r="G863" t="s">
        <v>20</v>
      </c>
      <c r="H863">
        <v>163</v>
      </c>
      <c r="I863" s="4">
        <f>IF(Table2[[#This Row],[pledged]]&gt;0,Table2[[#This Row],[pledged]]/Table2[[#This Row],[backers_count]],0)</f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8">
        <f t="shared" si="26"/>
        <v>40258.208333333336</v>
      </c>
      <c r="O863" s="8">
        <f t="shared" si="27"/>
        <v>40266.208333333336</v>
      </c>
      <c r="P863" s="5">
        <f>_xlfn.DAYS(Table2[[#This Row],[Date Ended Conversion]],Table2[[#This Row],[Date Created Conversion]])+1</f>
        <v>9</v>
      </c>
      <c r="Q863" t="b">
        <v>0</v>
      </c>
      <c r="R863" t="b">
        <v>0</v>
      </c>
      <c r="S863" t="s">
        <v>33</v>
      </c>
      <c r="T863" t="str">
        <f>_xlfn.TEXTBEFORE(Table2[[#This Row],[category &amp; sub-category]],"/")</f>
        <v>theater</v>
      </c>
      <c r="U863" t="str">
        <f>_xlfn.TEXTAFTER(Table2[[#This Row],[category &amp; sub-category]],"/")</f>
        <v>plays</v>
      </c>
    </row>
    <row r="864" spans="1:21" ht="17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5">
        <f>100*Table2[[#This Row],[pledged]]/Table2[[#This Row],[goal]]</f>
        <v>187.42857142857142</v>
      </c>
      <c r="G864" t="s">
        <v>20</v>
      </c>
      <c r="H864">
        <v>85</v>
      </c>
      <c r="I864" s="4">
        <f>IF(Table2[[#This Row],[pledged]]&gt;0,Table2[[#This Row],[pledged]]/Table2[[#This Row],[backers_count]],0)</f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8">
        <f t="shared" si="26"/>
        <v>40756.208333333336</v>
      </c>
      <c r="O864" s="8">
        <f t="shared" si="27"/>
        <v>40760.208333333336</v>
      </c>
      <c r="P864" s="5">
        <f>_xlfn.DAYS(Table2[[#This Row],[Date Ended Conversion]],Table2[[#This Row],[Date Created Conversion]])+1</f>
        <v>5</v>
      </c>
      <c r="Q864" t="b">
        <v>0</v>
      </c>
      <c r="R864" t="b">
        <v>0</v>
      </c>
      <c r="S864" t="s">
        <v>33</v>
      </c>
      <c r="T864" t="str">
        <f>_xlfn.TEXTBEFORE(Table2[[#This Row],[category &amp; sub-category]],"/")</f>
        <v>theater</v>
      </c>
      <c r="U864" t="str">
        <f>_xlfn.TEXTAFTER(Table2[[#This Row],[category &amp; sub-category]],"/")</f>
        <v>plays</v>
      </c>
    </row>
    <row r="865" spans="1:21" ht="17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5">
        <f>100*Table2[[#This Row],[pledged]]/Table2[[#This Row],[goal]]</f>
        <v>386.78571428571428</v>
      </c>
      <c r="G865" t="s">
        <v>20</v>
      </c>
      <c r="H865">
        <v>217</v>
      </c>
      <c r="I865" s="4">
        <f>IF(Table2[[#This Row],[pledged]]&gt;0,Table2[[#This Row],[pledged]]/Table2[[#This Row],[backers_count]],0)</f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8">
        <f t="shared" si="26"/>
        <v>42172.208333333328</v>
      </c>
      <c r="O865" s="8">
        <f t="shared" si="27"/>
        <v>42195.208333333328</v>
      </c>
      <c r="P865" s="5">
        <f>_xlfn.DAYS(Table2[[#This Row],[Date Ended Conversion]],Table2[[#This Row],[Date Created Conversion]])+1</f>
        <v>24</v>
      </c>
      <c r="Q865" t="b">
        <v>0</v>
      </c>
      <c r="R865" t="b">
        <v>1</v>
      </c>
      <c r="S865" t="s">
        <v>269</v>
      </c>
      <c r="T865" t="str">
        <f>_xlfn.TEXTBEFORE(Table2[[#This Row],[category &amp; sub-category]],"/")</f>
        <v>film &amp; video</v>
      </c>
      <c r="U865" t="str">
        <f>_xlfn.TEXTAFTER(Table2[[#This Row],[category &amp; sub-category]],"/")</f>
        <v>television</v>
      </c>
    </row>
    <row r="866" spans="1:21" ht="17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5">
        <f>100*Table2[[#This Row],[pledged]]/Table2[[#This Row],[goal]]</f>
        <v>347.07142857142856</v>
      </c>
      <c r="G866" t="s">
        <v>20</v>
      </c>
      <c r="H866">
        <v>150</v>
      </c>
      <c r="I866" s="4">
        <f>IF(Table2[[#This Row],[pledged]]&gt;0,Table2[[#This Row],[pledged]]/Table2[[#This Row],[backers_count]],0)</f>
        <v>97.18</v>
      </c>
      <c r="J866" t="s">
        <v>21</v>
      </c>
      <c r="K866" t="s">
        <v>22</v>
      </c>
      <c r="L866">
        <v>1471582800</v>
      </c>
      <c r="M866">
        <v>1472014800</v>
      </c>
      <c r="N866" s="8">
        <f t="shared" si="26"/>
        <v>42601.208333333328</v>
      </c>
      <c r="O866" s="8">
        <f t="shared" si="27"/>
        <v>42606.208333333328</v>
      </c>
      <c r="P866" s="5">
        <f>_xlfn.DAYS(Table2[[#This Row],[Date Ended Conversion]],Table2[[#This Row],[Date Created Conversion]])+1</f>
        <v>6</v>
      </c>
      <c r="Q866" t="b">
        <v>0</v>
      </c>
      <c r="R866" t="b">
        <v>0</v>
      </c>
      <c r="S866" t="s">
        <v>100</v>
      </c>
      <c r="T866" t="str">
        <f>_xlfn.TEXTBEFORE(Table2[[#This Row],[category &amp; sub-category]],"/")</f>
        <v>film &amp; video</v>
      </c>
      <c r="U866" t="str">
        <f>_xlfn.TEXTAFTER(Table2[[#This Row],[category &amp; sub-category]],"/")</f>
        <v>shorts</v>
      </c>
    </row>
    <row r="867" spans="1:21" ht="17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5">
        <f>100*Table2[[#This Row],[pledged]]/Table2[[#This Row],[goal]]</f>
        <v>185.82098765432099</v>
      </c>
      <c r="G867" t="s">
        <v>20</v>
      </c>
      <c r="H867">
        <v>3272</v>
      </c>
      <c r="I867" s="4">
        <f>IF(Table2[[#This Row],[pledged]]&gt;0,Table2[[#This Row],[pledged]]/Table2[[#This Row],[backers_count]],0)</f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8">
        <f t="shared" si="26"/>
        <v>41897.208333333336</v>
      </c>
      <c r="O867" s="8">
        <f t="shared" si="27"/>
        <v>41906.208333333336</v>
      </c>
      <c r="P867" s="5">
        <f>_xlfn.DAYS(Table2[[#This Row],[Date Ended Conversion]],Table2[[#This Row],[Date Created Conversion]])+1</f>
        <v>10</v>
      </c>
      <c r="Q867" t="b">
        <v>0</v>
      </c>
      <c r="R867" t="b">
        <v>0</v>
      </c>
      <c r="S867" t="s">
        <v>33</v>
      </c>
      <c r="T867" t="str">
        <f>_xlfn.TEXTBEFORE(Table2[[#This Row],[category &amp; sub-category]],"/")</f>
        <v>theater</v>
      </c>
      <c r="U867" t="str">
        <f>_xlfn.TEXTAFTER(Table2[[#This Row],[category &amp; sub-category]],"/")</f>
        <v>plays</v>
      </c>
    </row>
    <row r="868" spans="1:21" ht="17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5">
        <f>100*Table2[[#This Row],[pledged]]/Table2[[#This Row],[goal]]</f>
        <v>43.241247264770237</v>
      </c>
      <c r="G868" t="s">
        <v>74</v>
      </c>
      <c r="H868">
        <v>898</v>
      </c>
      <c r="I868" s="4">
        <f>IF(Table2[[#This Row],[pledged]]&gt;0,Table2[[#This Row],[pledged]]/Table2[[#This Row],[backers_count]],0)</f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8">
        <f t="shared" si="26"/>
        <v>40671.208333333336</v>
      </c>
      <c r="O868" s="8">
        <f t="shared" si="27"/>
        <v>40672.208333333336</v>
      </c>
      <c r="P868" s="5">
        <f>_xlfn.DAYS(Table2[[#This Row],[Date Ended Conversion]],Table2[[#This Row],[Date Created Conversion]])+1</f>
        <v>2</v>
      </c>
      <c r="Q868" t="b">
        <v>0</v>
      </c>
      <c r="R868" t="b">
        <v>0</v>
      </c>
      <c r="S868" t="s">
        <v>122</v>
      </c>
      <c r="T868" t="str">
        <f>_xlfn.TEXTBEFORE(Table2[[#This Row],[category &amp; sub-category]],"/")</f>
        <v>photography</v>
      </c>
      <c r="U868" t="str">
        <f>_xlfn.TEXTAFTER(Table2[[#This Row],[category &amp; sub-category]],"/")</f>
        <v>photography books</v>
      </c>
    </row>
    <row r="869" spans="1:21" ht="34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5">
        <f>100*Table2[[#This Row],[pledged]]/Table2[[#This Row],[goal]]</f>
        <v>162.4375</v>
      </c>
      <c r="G869" t="s">
        <v>20</v>
      </c>
      <c r="H869">
        <v>300</v>
      </c>
      <c r="I869" s="4">
        <f>IF(Table2[[#This Row],[pledged]]&gt;0,Table2[[#This Row],[pledged]]/Table2[[#This Row],[backers_count]],0)</f>
        <v>25.99</v>
      </c>
      <c r="J869" t="s">
        <v>21</v>
      </c>
      <c r="K869" t="s">
        <v>22</v>
      </c>
      <c r="L869">
        <v>1539061200</v>
      </c>
      <c r="M869">
        <v>1539579600</v>
      </c>
      <c r="N869" s="8">
        <f t="shared" si="26"/>
        <v>43382.208333333328</v>
      </c>
      <c r="O869" s="8">
        <f t="shared" si="27"/>
        <v>43388.208333333328</v>
      </c>
      <c r="P869" s="5">
        <f>_xlfn.DAYS(Table2[[#This Row],[Date Ended Conversion]],Table2[[#This Row],[Date Created Conversion]])+1</f>
        <v>7</v>
      </c>
      <c r="Q869" t="b">
        <v>0</v>
      </c>
      <c r="R869" t="b">
        <v>0</v>
      </c>
      <c r="S869" t="s">
        <v>17</v>
      </c>
      <c r="T869" t="str">
        <f>_xlfn.TEXTBEFORE(Table2[[#This Row],[category &amp; sub-category]],"/")</f>
        <v>food</v>
      </c>
      <c r="U869" t="str">
        <f>_xlfn.TEXTAFTER(Table2[[#This Row],[category &amp; sub-category]],"/")</f>
        <v>food trucks</v>
      </c>
    </row>
    <row r="870" spans="1:21" ht="17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5">
        <f>100*Table2[[#This Row],[pledged]]/Table2[[#This Row],[goal]]</f>
        <v>184.84285714285716</v>
      </c>
      <c r="G870" t="s">
        <v>20</v>
      </c>
      <c r="H870">
        <v>126</v>
      </c>
      <c r="I870" s="4">
        <f>IF(Table2[[#This Row],[pledged]]&gt;0,Table2[[#This Row],[pledged]]/Table2[[#This Row],[backers_count]],0)</f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8">
        <f t="shared" si="26"/>
        <v>41559.208333333336</v>
      </c>
      <c r="O870" s="8">
        <f t="shared" si="27"/>
        <v>41570.208333333336</v>
      </c>
      <c r="P870" s="5">
        <f>_xlfn.DAYS(Table2[[#This Row],[Date Ended Conversion]],Table2[[#This Row],[Date Created Conversion]])+1</f>
        <v>12</v>
      </c>
      <c r="Q870" t="b">
        <v>0</v>
      </c>
      <c r="R870" t="b">
        <v>0</v>
      </c>
      <c r="S870" t="s">
        <v>33</v>
      </c>
      <c r="T870" t="str">
        <f>_xlfn.TEXTBEFORE(Table2[[#This Row],[category &amp; sub-category]],"/")</f>
        <v>theater</v>
      </c>
      <c r="U870" t="str">
        <f>_xlfn.TEXTAFTER(Table2[[#This Row],[category &amp; sub-category]],"/")</f>
        <v>plays</v>
      </c>
    </row>
    <row r="871" spans="1:21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5">
        <f>100*Table2[[#This Row],[pledged]]/Table2[[#This Row],[goal]]</f>
        <v>23.703520691785052</v>
      </c>
      <c r="G871" t="s">
        <v>14</v>
      </c>
      <c r="H871">
        <v>526</v>
      </c>
      <c r="I871" s="4">
        <f>IF(Table2[[#This Row],[pledged]]&gt;0,Table2[[#This Row],[pledged]]/Table2[[#This Row],[backers_count]],0)</f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8">
        <f t="shared" si="26"/>
        <v>40350.208333333336</v>
      </c>
      <c r="O871" s="8">
        <f t="shared" si="27"/>
        <v>40364.208333333336</v>
      </c>
      <c r="P871" s="5">
        <f>_xlfn.DAYS(Table2[[#This Row],[Date Ended Conversion]],Table2[[#This Row],[Date Created Conversion]])+1</f>
        <v>15</v>
      </c>
      <c r="Q871" t="b">
        <v>0</v>
      </c>
      <c r="R871" t="b">
        <v>0</v>
      </c>
      <c r="S871" t="s">
        <v>53</v>
      </c>
      <c r="T871" t="str">
        <f>_xlfn.TEXTBEFORE(Table2[[#This Row],[category &amp; sub-category]],"/")</f>
        <v>film &amp; video</v>
      </c>
      <c r="U871" t="str">
        <f>_xlfn.TEXTAFTER(Table2[[#This Row],[category &amp; sub-category]],"/")</f>
        <v>drama</v>
      </c>
    </row>
    <row r="872" spans="1:21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5">
        <f>100*Table2[[#This Row],[pledged]]/Table2[[#This Row],[goal]]</f>
        <v>89.870129870129873</v>
      </c>
      <c r="G872" t="s">
        <v>14</v>
      </c>
      <c r="H872">
        <v>121</v>
      </c>
      <c r="I872" s="4">
        <f>IF(Table2[[#This Row],[pledged]]&gt;0,Table2[[#This Row],[pledged]]/Table2[[#This Row],[backers_count]],0)</f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8">
        <f t="shared" si="26"/>
        <v>42240.208333333328</v>
      </c>
      <c r="O872" s="8">
        <f t="shared" si="27"/>
        <v>42265.208333333328</v>
      </c>
      <c r="P872" s="5">
        <f>_xlfn.DAYS(Table2[[#This Row],[Date Ended Conversion]],Table2[[#This Row],[Date Created Conversion]])+1</f>
        <v>26</v>
      </c>
      <c r="Q872" t="b">
        <v>0</v>
      </c>
      <c r="R872" t="b">
        <v>0</v>
      </c>
      <c r="S872" t="s">
        <v>33</v>
      </c>
      <c r="T872" t="str">
        <f>_xlfn.TEXTBEFORE(Table2[[#This Row],[category &amp; sub-category]],"/")</f>
        <v>theater</v>
      </c>
      <c r="U872" t="str">
        <f>_xlfn.TEXTAFTER(Table2[[#This Row],[category &amp; sub-category]],"/")</f>
        <v>plays</v>
      </c>
    </row>
    <row r="873" spans="1:21" ht="34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5">
        <f>100*Table2[[#This Row],[pledged]]/Table2[[#This Row],[goal]]</f>
        <v>272.6041958041958</v>
      </c>
      <c r="G873" t="s">
        <v>20</v>
      </c>
      <c r="H873">
        <v>2320</v>
      </c>
      <c r="I873" s="4">
        <f>IF(Table2[[#This Row],[pledged]]&gt;0,Table2[[#This Row],[pledged]]/Table2[[#This Row],[backers_count]],0)</f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8">
        <f t="shared" si="26"/>
        <v>43040.208333333328</v>
      </c>
      <c r="O873" s="8">
        <f t="shared" si="27"/>
        <v>43058.25</v>
      </c>
      <c r="P873" s="5">
        <f>_xlfn.DAYS(Table2[[#This Row],[Date Ended Conversion]],Table2[[#This Row],[Date Created Conversion]])+1</f>
        <v>19</v>
      </c>
      <c r="Q873" t="b">
        <v>0</v>
      </c>
      <c r="R873" t="b">
        <v>1</v>
      </c>
      <c r="S873" t="s">
        <v>33</v>
      </c>
      <c r="T873" t="str">
        <f>_xlfn.TEXTBEFORE(Table2[[#This Row],[category &amp; sub-category]],"/")</f>
        <v>theater</v>
      </c>
      <c r="U873" t="str">
        <f>_xlfn.TEXTAFTER(Table2[[#This Row],[category &amp; sub-category]],"/")</f>
        <v>plays</v>
      </c>
    </row>
    <row r="874" spans="1:21" ht="17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5">
        <f>100*Table2[[#This Row],[pledged]]/Table2[[#This Row],[goal]]</f>
        <v>170.04255319148936</v>
      </c>
      <c r="G874" t="s">
        <v>20</v>
      </c>
      <c r="H874">
        <v>81</v>
      </c>
      <c r="I874" s="4">
        <f>IF(Table2[[#This Row],[pledged]]&gt;0,Table2[[#This Row],[pledged]]/Table2[[#This Row],[backers_count]],0)</f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8">
        <f t="shared" si="26"/>
        <v>43346.208333333328</v>
      </c>
      <c r="O874" s="8">
        <f t="shared" si="27"/>
        <v>43351.208333333328</v>
      </c>
      <c r="P874" s="5">
        <f>_xlfn.DAYS(Table2[[#This Row],[Date Ended Conversion]],Table2[[#This Row],[Date Created Conversion]])+1</f>
        <v>6</v>
      </c>
      <c r="Q874" t="b">
        <v>0</v>
      </c>
      <c r="R874" t="b">
        <v>0</v>
      </c>
      <c r="S874" t="s">
        <v>474</v>
      </c>
      <c r="T874" t="str">
        <f>_xlfn.TEXTBEFORE(Table2[[#This Row],[category &amp; sub-category]],"/")</f>
        <v>film &amp; video</v>
      </c>
      <c r="U874" t="str">
        <f>_xlfn.TEXTAFTER(Table2[[#This Row],[category &amp; sub-category]],"/")</f>
        <v>science fiction</v>
      </c>
    </row>
    <row r="875" spans="1:21" ht="17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5">
        <f>100*Table2[[#This Row],[pledged]]/Table2[[#This Row],[goal]]</f>
        <v>188.28503562945369</v>
      </c>
      <c r="G875" t="s">
        <v>20</v>
      </c>
      <c r="H875">
        <v>1887</v>
      </c>
      <c r="I875" s="4">
        <f>IF(Table2[[#This Row],[pledged]]&gt;0,Table2[[#This Row],[pledged]]/Table2[[#This Row],[backers_count]],0)</f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8">
        <f t="shared" si="26"/>
        <v>41647.25</v>
      </c>
      <c r="O875" s="8">
        <f t="shared" si="27"/>
        <v>41652.25</v>
      </c>
      <c r="P875" s="5">
        <f>_xlfn.DAYS(Table2[[#This Row],[Date Ended Conversion]],Table2[[#This Row],[Date Created Conversion]])+1</f>
        <v>6</v>
      </c>
      <c r="Q875" t="b">
        <v>0</v>
      </c>
      <c r="R875" t="b">
        <v>0</v>
      </c>
      <c r="S875" t="s">
        <v>122</v>
      </c>
      <c r="T875" t="str">
        <f>_xlfn.TEXTBEFORE(Table2[[#This Row],[category &amp; sub-category]],"/")</f>
        <v>photography</v>
      </c>
      <c r="U875" t="str">
        <f>_xlfn.TEXTAFTER(Table2[[#This Row],[category &amp; sub-category]],"/")</f>
        <v>photography books</v>
      </c>
    </row>
    <row r="876" spans="1:21" ht="17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5">
        <f>100*Table2[[#This Row],[pledged]]/Table2[[#This Row],[goal]]</f>
        <v>346.93532338308455</v>
      </c>
      <c r="G876" t="s">
        <v>20</v>
      </c>
      <c r="H876">
        <v>4358</v>
      </c>
      <c r="I876" s="4">
        <f>IF(Table2[[#This Row],[pledged]]&gt;0,Table2[[#This Row],[pledged]]/Table2[[#This Row],[backers_count]],0)</f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8">
        <f t="shared" si="26"/>
        <v>40291.208333333336</v>
      </c>
      <c r="O876" s="8">
        <f t="shared" si="27"/>
        <v>40329.208333333336</v>
      </c>
      <c r="P876" s="5">
        <f>_xlfn.DAYS(Table2[[#This Row],[Date Ended Conversion]],Table2[[#This Row],[Date Created Conversion]])+1</f>
        <v>39</v>
      </c>
      <c r="Q876" t="b">
        <v>0</v>
      </c>
      <c r="R876" t="b">
        <v>1</v>
      </c>
      <c r="S876" t="s">
        <v>122</v>
      </c>
      <c r="T876" t="str">
        <f>_xlfn.TEXTBEFORE(Table2[[#This Row],[category &amp; sub-category]],"/")</f>
        <v>photography</v>
      </c>
      <c r="U876" t="str">
        <f>_xlfn.TEXTAFTER(Table2[[#This Row],[category &amp; sub-category]],"/")</f>
        <v>photography books</v>
      </c>
    </row>
    <row r="877" spans="1:21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5">
        <f>100*Table2[[#This Row],[pledged]]/Table2[[#This Row],[goal]]</f>
        <v>69.177215189873422</v>
      </c>
      <c r="G877" t="s">
        <v>14</v>
      </c>
      <c r="H877">
        <v>67</v>
      </c>
      <c r="I877" s="4">
        <f>IF(Table2[[#This Row],[pledged]]&gt;0,Table2[[#This Row],[pledged]]/Table2[[#This Row],[backers_count]],0)</f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8">
        <f t="shared" si="26"/>
        <v>40556.25</v>
      </c>
      <c r="O877" s="8">
        <f t="shared" si="27"/>
        <v>40557.25</v>
      </c>
      <c r="P877" s="5">
        <f>_xlfn.DAYS(Table2[[#This Row],[Date Ended Conversion]],Table2[[#This Row],[Date Created Conversion]])+1</f>
        <v>2</v>
      </c>
      <c r="Q877" t="b">
        <v>0</v>
      </c>
      <c r="R877" t="b">
        <v>0</v>
      </c>
      <c r="S877" t="s">
        <v>23</v>
      </c>
      <c r="T877" t="str">
        <f>_xlfn.TEXTBEFORE(Table2[[#This Row],[category &amp; sub-category]],"/")</f>
        <v>music</v>
      </c>
      <c r="U877" t="str">
        <f>_xlfn.TEXTAFTER(Table2[[#This Row],[category &amp; sub-category]],"/")</f>
        <v>rock</v>
      </c>
    </row>
    <row r="878" spans="1:21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5">
        <f>100*Table2[[#This Row],[pledged]]/Table2[[#This Row],[goal]]</f>
        <v>25.433734939759034</v>
      </c>
      <c r="G878" t="s">
        <v>14</v>
      </c>
      <c r="H878">
        <v>57</v>
      </c>
      <c r="I878" s="4">
        <f>IF(Table2[[#This Row],[pledged]]&gt;0,Table2[[#This Row],[pledged]]/Table2[[#This Row],[backers_count]],0)</f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8">
        <f t="shared" si="26"/>
        <v>43624.208333333328</v>
      </c>
      <c r="O878" s="8">
        <f t="shared" si="27"/>
        <v>43648.208333333328</v>
      </c>
      <c r="P878" s="5">
        <f>_xlfn.DAYS(Table2[[#This Row],[Date Ended Conversion]],Table2[[#This Row],[Date Created Conversion]])+1</f>
        <v>25</v>
      </c>
      <c r="Q878" t="b">
        <v>0</v>
      </c>
      <c r="R878" t="b">
        <v>0</v>
      </c>
      <c r="S878" t="s">
        <v>122</v>
      </c>
      <c r="T878" t="str">
        <f>_xlfn.TEXTBEFORE(Table2[[#This Row],[category &amp; sub-category]],"/")</f>
        <v>photography</v>
      </c>
      <c r="U878" t="str">
        <f>_xlfn.TEXTAFTER(Table2[[#This Row],[category &amp; sub-category]],"/")</f>
        <v>photography books</v>
      </c>
    </row>
    <row r="879" spans="1:21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5">
        <f>100*Table2[[#This Row],[pledged]]/Table2[[#This Row],[goal]]</f>
        <v>77.400977995110026</v>
      </c>
      <c r="G879" t="s">
        <v>14</v>
      </c>
      <c r="H879">
        <v>1229</v>
      </c>
      <c r="I879" s="4">
        <f>IF(Table2[[#This Row],[pledged]]&gt;0,Table2[[#This Row],[pledged]]/Table2[[#This Row],[backers_count]],0)</f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8">
        <f t="shared" si="26"/>
        <v>42577.208333333328</v>
      </c>
      <c r="O879" s="8">
        <f t="shared" si="27"/>
        <v>42578.208333333328</v>
      </c>
      <c r="P879" s="5">
        <f>_xlfn.DAYS(Table2[[#This Row],[Date Ended Conversion]],Table2[[#This Row],[Date Created Conversion]])+1</f>
        <v>2</v>
      </c>
      <c r="Q879" t="b">
        <v>0</v>
      </c>
      <c r="R879" t="b">
        <v>0</v>
      </c>
      <c r="S879" t="s">
        <v>17</v>
      </c>
      <c r="T879" t="str">
        <f>_xlfn.TEXTBEFORE(Table2[[#This Row],[category &amp; sub-category]],"/")</f>
        <v>food</v>
      </c>
      <c r="U879" t="str">
        <f>_xlfn.TEXTAFTER(Table2[[#This Row],[category &amp; sub-category]],"/")</f>
        <v>food trucks</v>
      </c>
    </row>
    <row r="880" spans="1:21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5">
        <f>100*Table2[[#This Row],[pledged]]/Table2[[#This Row],[goal]]</f>
        <v>37.481481481481481</v>
      </c>
      <c r="G880" t="s">
        <v>14</v>
      </c>
      <c r="H880">
        <v>12</v>
      </c>
      <c r="I880" s="4">
        <f>IF(Table2[[#This Row],[pledged]]&gt;0,Table2[[#This Row],[pledged]]/Table2[[#This Row],[backers_count]],0)</f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8">
        <f t="shared" si="26"/>
        <v>43845.25</v>
      </c>
      <c r="O880" s="8">
        <f t="shared" si="27"/>
        <v>43869.25</v>
      </c>
      <c r="P880" s="5">
        <f>_xlfn.DAYS(Table2[[#This Row],[Date Ended Conversion]],Table2[[#This Row],[Date Created Conversion]])+1</f>
        <v>25</v>
      </c>
      <c r="Q880" t="b">
        <v>0</v>
      </c>
      <c r="R880" t="b">
        <v>0</v>
      </c>
      <c r="S880" t="s">
        <v>148</v>
      </c>
      <c r="T880" t="str">
        <f>_xlfn.TEXTBEFORE(Table2[[#This Row],[category &amp; sub-category]],"/")</f>
        <v>music</v>
      </c>
      <c r="U880" t="str">
        <f>_xlfn.TEXTAFTER(Table2[[#This Row],[category &amp; sub-category]],"/")</f>
        <v>metal</v>
      </c>
    </row>
    <row r="881" spans="1:21" ht="17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5">
        <f>100*Table2[[#This Row],[pledged]]/Table2[[#This Row],[goal]]</f>
        <v>543.79999999999995</v>
      </c>
      <c r="G881" t="s">
        <v>20</v>
      </c>
      <c r="H881">
        <v>53</v>
      </c>
      <c r="I881" s="4">
        <f>IF(Table2[[#This Row],[pledged]]&gt;0,Table2[[#This Row],[pledged]]/Table2[[#This Row],[backers_count]],0)</f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8">
        <f t="shared" si="26"/>
        <v>42788.25</v>
      </c>
      <c r="O881" s="8">
        <f t="shared" si="27"/>
        <v>42797.25</v>
      </c>
      <c r="P881" s="5">
        <f>_xlfn.DAYS(Table2[[#This Row],[Date Ended Conversion]],Table2[[#This Row],[Date Created Conversion]])+1</f>
        <v>10</v>
      </c>
      <c r="Q881" t="b">
        <v>0</v>
      </c>
      <c r="R881" t="b">
        <v>0</v>
      </c>
      <c r="S881" t="s">
        <v>68</v>
      </c>
      <c r="T881" t="str">
        <f>_xlfn.TEXTBEFORE(Table2[[#This Row],[category &amp; sub-category]],"/")</f>
        <v>publishing</v>
      </c>
      <c r="U881" t="str">
        <f>_xlfn.TEXTAFTER(Table2[[#This Row],[category &amp; sub-category]],"/")</f>
        <v>nonfiction</v>
      </c>
    </row>
    <row r="882" spans="1:21" ht="17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5">
        <f>100*Table2[[#This Row],[pledged]]/Table2[[#This Row],[goal]]</f>
        <v>228.52189349112427</v>
      </c>
      <c r="G882" t="s">
        <v>20</v>
      </c>
      <c r="H882">
        <v>2414</v>
      </c>
      <c r="I882" s="4">
        <f>IF(Table2[[#This Row],[pledged]]&gt;0,Table2[[#This Row],[pledged]]/Table2[[#This Row],[backers_count]],0)</f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8">
        <f t="shared" si="26"/>
        <v>43667.208333333328</v>
      </c>
      <c r="O882" s="8">
        <f t="shared" si="27"/>
        <v>43669.208333333328</v>
      </c>
      <c r="P882" s="5">
        <f>_xlfn.DAYS(Table2[[#This Row],[Date Ended Conversion]],Table2[[#This Row],[Date Created Conversion]])+1</f>
        <v>3</v>
      </c>
      <c r="Q882" t="b">
        <v>0</v>
      </c>
      <c r="R882" t="b">
        <v>0</v>
      </c>
      <c r="S882" t="s">
        <v>50</v>
      </c>
      <c r="T882" t="str">
        <f>_xlfn.TEXTBEFORE(Table2[[#This Row],[category &amp; sub-category]],"/")</f>
        <v>music</v>
      </c>
      <c r="U882" t="str">
        <f>_xlfn.TEXTAFTER(Table2[[#This Row],[category &amp; sub-category]],"/")</f>
        <v>electric music</v>
      </c>
    </row>
    <row r="883" spans="1:21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5">
        <f>100*Table2[[#This Row],[pledged]]/Table2[[#This Row],[goal]]</f>
        <v>38.948339483394832</v>
      </c>
      <c r="G883" t="s">
        <v>14</v>
      </c>
      <c r="H883">
        <v>452</v>
      </c>
      <c r="I883" s="4">
        <f>IF(Table2[[#This Row],[pledged]]&gt;0,Table2[[#This Row],[pledged]]/Table2[[#This Row],[backers_count]],0)</f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8">
        <f t="shared" si="26"/>
        <v>42194.208333333328</v>
      </c>
      <c r="O883" s="8">
        <f t="shared" si="27"/>
        <v>42223.208333333328</v>
      </c>
      <c r="P883" s="5">
        <f>_xlfn.DAYS(Table2[[#This Row],[Date Ended Conversion]],Table2[[#This Row],[Date Created Conversion]])+1</f>
        <v>30</v>
      </c>
      <c r="Q883" t="b">
        <v>0</v>
      </c>
      <c r="R883" t="b">
        <v>1</v>
      </c>
      <c r="S883" t="s">
        <v>33</v>
      </c>
      <c r="T883" t="str">
        <f>_xlfn.TEXTBEFORE(Table2[[#This Row],[category &amp; sub-category]],"/")</f>
        <v>theater</v>
      </c>
      <c r="U883" t="str">
        <f>_xlfn.TEXTAFTER(Table2[[#This Row],[category &amp; sub-category]],"/")</f>
        <v>plays</v>
      </c>
    </row>
    <row r="884" spans="1:21" ht="17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5">
        <f>100*Table2[[#This Row],[pledged]]/Table2[[#This Row],[goal]]</f>
        <v>370</v>
      </c>
      <c r="G884" t="s">
        <v>20</v>
      </c>
      <c r="H884">
        <v>80</v>
      </c>
      <c r="I884" s="4">
        <f>IF(Table2[[#This Row],[pledged]]&gt;0,Table2[[#This Row],[pledged]]/Table2[[#This Row],[backers_count]],0)</f>
        <v>37</v>
      </c>
      <c r="J884" t="s">
        <v>21</v>
      </c>
      <c r="K884" t="s">
        <v>22</v>
      </c>
      <c r="L884">
        <v>1421820000</v>
      </c>
      <c r="M884">
        <v>1422165600</v>
      </c>
      <c r="N884" s="8">
        <f t="shared" si="26"/>
        <v>42025.25</v>
      </c>
      <c r="O884" s="8">
        <f t="shared" si="27"/>
        <v>42029.25</v>
      </c>
      <c r="P884" s="5">
        <f>_xlfn.DAYS(Table2[[#This Row],[Date Ended Conversion]],Table2[[#This Row],[Date Created Conversion]])+1</f>
        <v>5</v>
      </c>
      <c r="Q884" t="b">
        <v>0</v>
      </c>
      <c r="R884" t="b">
        <v>0</v>
      </c>
      <c r="S884" t="s">
        <v>33</v>
      </c>
      <c r="T884" t="str">
        <f>_xlfn.TEXTBEFORE(Table2[[#This Row],[category &amp; sub-category]],"/")</f>
        <v>theater</v>
      </c>
      <c r="U884" t="str">
        <f>_xlfn.TEXTAFTER(Table2[[#This Row],[category &amp; sub-category]],"/")</f>
        <v>plays</v>
      </c>
    </row>
    <row r="885" spans="1:21" ht="34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5">
        <f>100*Table2[[#This Row],[pledged]]/Table2[[#This Row],[goal]]</f>
        <v>237.91176470588235</v>
      </c>
      <c r="G885" t="s">
        <v>20</v>
      </c>
      <c r="H885">
        <v>193</v>
      </c>
      <c r="I885" s="4">
        <f>IF(Table2[[#This Row],[pledged]]&gt;0,Table2[[#This Row],[pledged]]/Table2[[#This Row],[backers_count]],0)</f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8">
        <f t="shared" si="26"/>
        <v>40323.208333333336</v>
      </c>
      <c r="O885" s="8">
        <f t="shared" si="27"/>
        <v>40359.208333333336</v>
      </c>
      <c r="P885" s="5">
        <f>_xlfn.DAYS(Table2[[#This Row],[Date Ended Conversion]],Table2[[#This Row],[Date Created Conversion]])+1</f>
        <v>37</v>
      </c>
      <c r="Q885" t="b">
        <v>0</v>
      </c>
      <c r="R885" t="b">
        <v>0</v>
      </c>
      <c r="S885" t="s">
        <v>100</v>
      </c>
      <c r="T885" t="str">
        <f>_xlfn.TEXTBEFORE(Table2[[#This Row],[category &amp; sub-category]],"/")</f>
        <v>film &amp; video</v>
      </c>
      <c r="U885" t="str">
        <f>_xlfn.TEXTAFTER(Table2[[#This Row],[category &amp; sub-category]],"/")</f>
        <v>shorts</v>
      </c>
    </row>
    <row r="886" spans="1:21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5">
        <f>100*Table2[[#This Row],[pledged]]/Table2[[#This Row],[goal]]</f>
        <v>64.036299765807968</v>
      </c>
      <c r="G886" t="s">
        <v>14</v>
      </c>
      <c r="H886">
        <v>1886</v>
      </c>
      <c r="I886" s="4">
        <f>IF(Table2[[#This Row],[pledged]]&gt;0,Table2[[#This Row],[pledged]]/Table2[[#This Row],[backers_count]],0)</f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8">
        <f t="shared" si="26"/>
        <v>41763.208333333336</v>
      </c>
      <c r="O886" s="8">
        <f t="shared" si="27"/>
        <v>41765.208333333336</v>
      </c>
      <c r="P886" s="5">
        <f>_xlfn.DAYS(Table2[[#This Row],[Date Ended Conversion]],Table2[[#This Row],[Date Created Conversion]])+1</f>
        <v>3</v>
      </c>
      <c r="Q886" t="b">
        <v>0</v>
      </c>
      <c r="R886" t="b">
        <v>1</v>
      </c>
      <c r="S886" t="s">
        <v>33</v>
      </c>
      <c r="T886" t="str">
        <f>_xlfn.TEXTBEFORE(Table2[[#This Row],[category &amp; sub-category]],"/")</f>
        <v>theater</v>
      </c>
      <c r="U886" t="str">
        <f>_xlfn.TEXTAFTER(Table2[[#This Row],[category &amp; sub-category]],"/")</f>
        <v>plays</v>
      </c>
    </row>
    <row r="887" spans="1:21" ht="17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5">
        <f>100*Table2[[#This Row],[pledged]]/Table2[[#This Row],[goal]]</f>
        <v>118.27777777777777</v>
      </c>
      <c r="G887" t="s">
        <v>20</v>
      </c>
      <c r="H887">
        <v>52</v>
      </c>
      <c r="I887" s="4">
        <f>IF(Table2[[#This Row],[pledged]]&gt;0,Table2[[#This Row],[pledged]]/Table2[[#This Row],[backers_count]],0)</f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8">
        <f t="shared" si="26"/>
        <v>40335.208333333336</v>
      </c>
      <c r="O887" s="8">
        <f t="shared" si="27"/>
        <v>40373.208333333336</v>
      </c>
      <c r="P887" s="5">
        <f>_xlfn.DAYS(Table2[[#This Row],[Date Ended Conversion]],Table2[[#This Row],[Date Created Conversion]])+1</f>
        <v>39</v>
      </c>
      <c r="Q887" t="b">
        <v>0</v>
      </c>
      <c r="R887" t="b">
        <v>0</v>
      </c>
      <c r="S887" t="s">
        <v>33</v>
      </c>
      <c r="T887" t="str">
        <f>_xlfn.TEXTBEFORE(Table2[[#This Row],[category &amp; sub-category]],"/")</f>
        <v>theater</v>
      </c>
      <c r="U887" t="str">
        <f>_xlfn.TEXTAFTER(Table2[[#This Row],[category &amp; sub-category]],"/")</f>
        <v>plays</v>
      </c>
    </row>
    <row r="888" spans="1:21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5">
        <f>100*Table2[[#This Row],[pledged]]/Table2[[#This Row],[goal]]</f>
        <v>84.824037184594957</v>
      </c>
      <c r="G888" t="s">
        <v>14</v>
      </c>
      <c r="H888">
        <v>1825</v>
      </c>
      <c r="I888" s="4">
        <f>IF(Table2[[#This Row],[pledged]]&gt;0,Table2[[#This Row],[pledged]]/Table2[[#This Row],[backers_count]],0)</f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8">
        <f t="shared" si="26"/>
        <v>40416.208333333336</v>
      </c>
      <c r="O888" s="8">
        <f t="shared" si="27"/>
        <v>40434.208333333336</v>
      </c>
      <c r="P888" s="5">
        <f>_xlfn.DAYS(Table2[[#This Row],[Date Ended Conversion]],Table2[[#This Row],[Date Created Conversion]])+1</f>
        <v>19</v>
      </c>
      <c r="Q888" t="b">
        <v>0</v>
      </c>
      <c r="R888" t="b">
        <v>0</v>
      </c>
      <c r="S888" t="s">
        <v>60</v>
      </c>
      <c r="T888" t="str">
        <f>_xlfn.TEXTBEFORE(Table2[[#This Row],[category &amp; sub-category]],"/")</f>
        <v>music</v>
      </c>
      <c r="U888" t="str">
        <f>_xlfn.TEXTAFTER(Table2[[#This Row],[category &amp; sub-category]],"/")</f>
        <v>indie rock</v>
      </c>
    </row>
    <row r="889" spans="1:21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5">
        <f>100*Table2[[#This Row],[pledged]]/Table2[[#This Row],[goal]]</f>
        <v>29.346153846153847</v>
      </c>
      <c r="G889" t="s">
        <v>14</v>
      </c>
      <c r="H889">
        <v>31</v>
      </c>
      <c r="I889" s="4">
        <f>IF(Table2[[#This Row],[pledged]]&gt;0,Table2[[#This Row],[pledged]]/Table2[[#This Row],[backers_count]],0)</f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8">
        <f t="shared" si="26"/>
        <v>42202.208333333328</v>
      </c>
      <c r="O889" s="8">
        <f t="shared" si="27"/>
        <v>42249.208333333328</v>
      </c>
      <c r="P889" s="5">
        <f>_xlfn.DAYS(Table2[[#This Row],[Date Ended Conversion]],Table2[[#This Row],[Date Created Conversion]])+1</f>
        <v>48</v>
      </c>
      <c r="Q889" t="b">
        <v>0</v>
      </c>
      <c r="R889" t="b">
        <v>1</v>
      </c>
      <c r="S889" t="s">
        <v>33</v>
      </c>
      <c r="T889" t="str">
        <f>_xlfn.TEXTBEFORE(Table2[[#This Row],[category &amp; sub-category]],"/")</f>
        <v>theater</v>
      </c>
      <c r="U889" t="str">
        <f>_xlfn.TEXTAFTER(Table2[[#This Row],[category &amp; sub-category]],"/")</f>
        <v>plays</v>
      </c>
    </row>
    <row r="890" spans="1:21" ht="34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5">
        <f>100*Table2[[#This Row],[pledged]]/Table2[[#This Row],[goal]]</f>
        <v>209.89655172413794</v>
      </c>
      <c r="G890" t="s">
        <v>20</v>
      </c>
      <c r="H890">
        <v>290</v>
      </c>
      <c r="I890" s="4">
        <f>IF(Table2[[#This Row],[pledged]]&gt;0,Table2[[#This Row],[pledged]]/Table2[[#This Row],[backers_count]],0)</f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8">
        <f t="shared" si="26"/>
        <v>42836.208333333328</v>
      </c>
      <c r="O890" s="8">
        <f t="shared" si="27"/>
        <v>42855.208333333328</v>
      </c>
      <c r="P890" s="5">
        <f>_xlfn.DAYS(Table2[[#This Row],[Date Ended Conversion]],Table2[[#This Row],[Date Created Conversion]])+1</f>
        <v>20</v>
      </c>
      <c r="Q890" t="b">
        <v>0</v>
      </c>
      <c r="R890" t="b">
        <v>0</v>
      </c>
      <c r="S890" t="s">
        <v>33</v>
      </c>
      <c r="T890" t="str">
        <f>_xlfn.TEXTBEFORE(Table2[[#This Row],[category &amp; sub-category]],"/")</f>
        <v>theater</v>
      </c>
      <c r="U890" t="str">
        <f>_xlfn.TEXTAFTER(Table2[[#This Row],[category &amp; sub-category]],"/")</f>
        <v>plays</v>
      </c>
    </row>
    <row r="891" spans="1:21" ht="17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5">
        <f>100*Table2[[#This Row],[pledged]]/Table2[[#This Row],[goal]]</f>
        <v>169.78571428571428</v>
      </c>
      <c r="G891" t="s">
        <v>20</v>
      </c>
      <c r="H891">
        <v>122</v>
      </c>
      <c r="I891" s="4">
        <f>IF(Table2[[#This Row],[pledged]]&gt;0,Table2[[#This Row],[pledged]]/Table2[[#This Row],[backers_count]],0)</f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8">
        <f t="shared" si="26"/>
        <v>41710.208333333336</v>
      </c>
      <c r="O891" s="8">
        <f t="shared" si="27"/>
        <v>41717.208333333336</v>
      </c>
      <c r="P891" s="5">
        <f>_xlfn.DAYS(Table2[[#This Row],[Date Ended Conversion]],Table2[[#This Row],[Date Created Conversion]])+1</f>
        <v>8</v>
      </c>
      <c r="Q891" t="b">
        <v>0</v>
      </c>
      <c r="R891" t="b">
        <v>1</v>
      </c>
      <c r="S891" t="s">
        <v>50</v>
      </c>
      <c r="T891" t="str">
        <f>_xlfn.TEXTBEFORE(Table2[[#This Row],[category &amp; sub-category]],"/")</f>
        <v>music</v>
      </c>
      <c r="U891" t="str">
        <f>_xlfn.TEXTAFTER(Table2[[#This Row],[category &amp; sub-category]],"/")</f>
        <v>electric music</v>
      </c>
    </row>
    <row r="892" spans="1:21" ht="17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5">
        <f>100*Table2[[#This Row],[pledged]]/Table2[[#This Row],[goal]]</f>
        <v>115.95907738095238</v>
      </c>
      <c r="G892" t="s">
        <v>20</v>
      </c>
      <c r="H892">
        <v>1470</v>
      </c>
      <c r="I892" s="4">
        <f>IF(Table2[[#This Row],[pledged]]&gt;0,Table2[[#This Row],[pledged]]/Table2[[#This Row],[backers_count]],0)</f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8">
        <f t="shared" si="26"/>
        <v>43640.208333333328</v>
      </c>
      <c r="O892" s="8">
        <f t="shared" si="27"/>
        <v>43641.208333333328</v>
      </c>
      <c r="P892" s="5">
        <f>_xlfn.DAYS(Table2[[#This Row],[Date Ended Conversion]],Table2[[#This Row],[Date Created Conversion]])+1</f>
        <v>2</v>
      </c>
      <c r="Q892" t="b">
        <v>0</v>
      </c>
      <c r="R892" t="b">
        <v>0</v>
      </c>
      <c r="S892" t="s">
        <v>60</v>
      </c>
      <c r="T892" t="str">
        <f>_xlfn.TEXTBEFORE(Table2[[#This Row],[category &amp; sub-category]],"/")</f>
        <v>music</v>
      </c>
      <c r="U892" t="str">
        <f>_xlfn.TEXTAFTER(Table2[[#This Row],[category &amp; sub-category]],"/")</f>
        <v>indie rock</v>
      </c>
    </row>
    <row r="893" spans="1:21" ht="34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5">
        <f>100*Table2[[#This Row],[pledged]]/Table2[[#This Row],[goal]]</f>
        <v>258.60000000000002</v>
      </c>
      <c r="G893" t="s">
        <v>20</v>
      </c>
      <c r="H893">
        <v>165</v>
      </c>
      <c r="I893" s="4">
        <f>IF(Table2[[#This Row],[pledged]]&gt;0,Table2[[#This Row],[pledged]]/Table2[[#This Row],[backers_count]],0)</f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8">
        <f t="shared" si="26"/>
        <v>40880.25</v>
      </c>
      <c r="O893" s="8">
        <f t="shared" si="27"/>
        <v>40924.25</v>
      </c>
      <c r="P893" s="5">
        <f>_xlfn.DAYS(Table2[[#This Row],[Date Ended Conversion]],Table2[[#This Row],[Date Created Conversion]])+1</f>
        <v>45</v>
      </c>
      <c r="Q893" t="b">
        <v>0</v>
      </c>
      <c r="R893" t="b">
        <v>0</v>
      </c>
      <c r="S893" t="s">
        <v>42</v>
      </c>
      <c r="T893" t="str">
        <f>_xlfn.TEXTBEFORE(Table2[[#This Row],[category &amp; sub-category]],"/")</f>
        <v>film &amp; video</v>
      </c>
      <c r="U893" t="str">
        <f>_xlfn.TEXTAFTER(Table2[[#This Row],[category &amp; sub-category]],"/")</f>
        <v>documentary</v>
      </c>
    </row>
    <row r="894" spans="1:21" ht="17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5">
        <f>100*Table2[[#This Row],[pledged]]/Table2[[#This Row],[goal]]</f>
        <v>230.58333333333334</v>
      </c>
      <c r="G894" t="s">
        <v>20</v>
      </c>
      <c r="H894">
        <v>182</v>
      </c>
      <c r="I894" s="4">
        <f>IF(Table2[[#This Row],[pledged]]&gt;0,Table2[[#This Row],[pledged]]/Table2[[#This Row],[backers_count]],0)</f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8">
        <f t="shared" si="26"/>
        <v>40319.208333333336</v>
      </c>
      <c r="O894" s="8">
        <f t="shared" si="27"/>
        <v>40360.208333333336</v>
      </c>
      <c r="P894" s="5">
        <f>_xlfn.DAYS(Table2[[#This Row],[Date Ended Conversion]],Table2[[#This Row],[Date Created Conversion]])+1</f>
        <v>42</v>
      </c>
      <c r="Q894" t="b">
        <v>0</v>
      </c>
      <c r="R894" t="b">
        <v>0</v>
      </c>
      <c r="S894" t="s">
        <v>206</v>
      </c>
      <c r="T894" t="str">
        <f>_xlfn.TEXTBEFORE(Table2[[#This Row],[category &amp; sub-category]],"/")</f>
        <v>publishing</v>
      </c>
      <c r="U894" t="str">
        <f>_xlfn.TEXTAFTER(Table2[[#This Row],[category &amp; sub-category]],"/")</f>
        <v>translations</v>
      </c>
    </row>
    <row r="895" spans="1:21" ht="17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5">
        <f>100*Table2[[#This Row],[pledged]]/Table2[[#This Row],[goal]]</f>
        <v>128.21428571428572</v>
      </c>
      <c r="G895" t="s">
        <v>20</v>
      </c>
      <c r="H895">
        <v>199</v>
      </c>
      <c r="I895" s="4">
        <f>IF(Table2[[#This Row],[pledged]]&gt;0,Table2[[#This Row],[pledged]]/Table2[[#This Row],[backers_count]],0)</f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8">
        <f t="shared" si="26"/>
        <v>42170.208333333328</v>
      </c>
      <c r="O895" s="8">
        <f t="shared" si="27"/>
        <v>42174.208333333328</v>
      </c>
      <c r="P895" s="5">
        <f>_xlfn.DAYS(Table2[[#This Row],[Date Ended Conversion]],Table2[[#This Row],[Date Created Conversion]])+1</f>
        <v>5</v>
      </c>
      <c r="Q895" t="b">
        <v>0</v>
      </c>
      <c r="R895" t="b">
        <v>1</v>
      </c>
      <c r="S895" t="s">
        <v>42</v>
      </c>
      <c r="T895" t="str">
        <f>_xlfn.TEXTBEFORE(Table2[[#This Row],[category &amp; sub-category]],"/")</f>
        <v>film &amp; video</v>
      </c>
      <c r="U895" t="str">
        <f>_xlfn.TEXTAFTER(Table2[[#This Row],[category &amp; sub-category]],"/")</f>
        <v>documentary</v>
      </c>
    </row>
    <row r="896" spans="1:21" ht="17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5">
        <f>100*Table2[[#This Row],[pledged]]/Table2[[#This Row],[goal]]</f>
        <v>188.70588235294119</v>
      </c>
      <c r="G896" t="s">
        <v>20</v>
      </c>
      <c r="H896">
        <v>56</v>
      </c>
      <c r="I896" s="4">
        <f>IF(Table2[[#This Row],[pledged]]&gt;0,Table2[[#This Row],[pledged]]/Table2[[#This Row],[backers_count]],0)</f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8">
        <f t="shared" si="26"/>
        <v>41466.208333333336</v>
      </c>
      <c r="O896" s="8">
        <f t="shared" si="27"/>
        <v>41496.208333333336</v>
      </c>
      <c r="P896" s="5">
        <f>_xlfn.DAYS(Table2[[#This Row],[Date Ended Conversion]],Table2[[#This Row],[Date Created Conversion]])+1</f>
        <v>31</v>
      </c>
      <c r="Q896" t="b">
        <v>0</v>
      </c>
      <c r="R896" t="b">
        <v>1</v>
      </c>
      <c r="S896" t="s">
        <v>269</v>
      </c>
      <c r="T896" t="str">
        <f>_xlfn.TEXTBEFORE(Table2[[#This Row],[category &amp; sub-category]],"/")</f>
        <v>film &amp; video</v>
      </c>
      <c r="U896" t="str">
        <f>_xlfn.TEXTAFTER(Table2[[#This Row],[category &amp; sub-category]],"/")</f>
        <v>television</v>
      </c>
    </row>
    <row r="897" spans="1:21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5">
        <f>100*Table2[[#This Row],[pledged]]/Table2[[#This Row],[goal]]</f>
        <v>6.9511889862327907</v>
      </c>
      <c r="G897" t="s">
        <v>14</v>
      </c>
      <c r="H897">
        <v>107</v>
      </c>
      <c r="I897" s="4">
        <f>IF(Table2[[#This Row],[pledged]]&gt;0,Table2[[#This Row],[pledged]]/Table2[[#This Row],[backers_count]],0)</f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8">
        <f t="shared" si="26"/>
        <v>43134.25</v>
      </c>
      <c r="O897" s="8">
        <f t="shared" si="27"/>
        <v>43143.25</v>
      </c>
      <c r="P897" s="5">
        <f>_xlfn.DAYS(Table2[[#This Row],[Date Ended Conversion]],Table2[[#This Row],[Date Created Conversion]])+1</f>
        <v>10</v>
      </c>
      <c r="Q897" t="b">
        <v>0</v>
      </c>
      <c r="R897" t="b">
        <v>0</v>
      </c>
      <c r="S897" t="s">
        <v>33</v>
      </c>
      <c r="T897" t="str">
        <f>_xlfn.TEXTBEFORE(Table2[[#This Row],[category &amp; sub-category]],"/")</f>
        <v>theater</v>
      </c>
      <c r="U897" t="str">
        <f>_xlfn.TEXTAFTER(Table2[[#This Row],[category &amp; sub-category]],"/")</f>
        <v>plays</v>
      </c>
    </row>
    <row r="898" spans="1:21" ht="34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5">
        <f>100*Table2[[#This Row],[pledged]]/Table2[[#This Row],[goal]]</f>
        <v>774.43434343434342</v>
      </c>
      <c r="G898" t="s">
        <v>20</v>
      </c>
      <c r="H898">
        <v>1460</v>
      </c>
      <c r="I898" s="4">
        <f>IF(Table2[[#This Row],[pledged]]&gt;0,Table2[[#This Row],[pledged]]/Table2[[#This Row],[backers_count]],0)</f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8">
        <f t="shared" ref="N898:N961" si="28">(((L898/60)/60)/24)+DATE(1970,1,1)</f>
        <v>40738.208333333336</v>
      </c>
      <c r="O898" s="8">
        <f t="shared" ref="O898:O961" si="29">(((M898/60)/60)/24)+DATE(1970,1,1)</f>
        <v>40741.208333333336</v>
      </c>
      <c r="P898" s="5">
        <f>_xlfn.DAYS(Table2[[#This Row],[Date Ended Conversion]],Table2[[#This Row],[Date Created Conversion]])+1</f>
        <v>4</v>
      </c>
      <c r="Q898" t="b">
        <v>0</v>
      </c>
      <c r="R898" t="b">
        <v>1</v>
      </c>
      <c r="S898" t="s">
        <v>17</v>
      </c>
      <c r="T898" t="str">
        <f>_xlfn.TEXTBEFORE(Table2[[#This Row],[category &amp; sub-category]],"/")</f>
        <v>food</v>
      </c>
      <c r="U898" t="str">
        <f>_xlfn.TEXTAFTER(Table2[[#This Row],[category &amp; sub-category]],"/")</f>
        <v>food trucks</v>
      </c>
    </row>
    <row r="899" spans="1:21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5">
        <f>100*Table2[[#This Row],[pledged]]/Table2[[#This Row],[goal]]</f>
        <v>27.693181818181817</v>
      </c>
      <c r="G899" t="s">
        <v>14</v>
      </c>
      <c r="H899">
        <v>27</v>
      </c>
      <c r="I899" s="4">
        <f>IF(Table2[[#This Row],[pledged]]&gt;0,Table2[[#This Row],[pledged]]/Table2[[#This Row],[backers_count]],0)</f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8">
        <f t="shared" si="28"/>
        <v>43583.208333333328</v>
      </c>
      <c r="O899" s="8">
        <f t="shared" si="29"/>
        <v>43585.208333333328</v>
      </c>
      <c r="P899" s="5">
        <f>_xlfn.DAYS(Table2[[#This Row],[Date Ended Conversion]],Table2[[#This Row],[Date Created Conversion]])+1</f>
        <v>3</v>
      </c>
      <c r="Q899" t="b">
        <v>0</v>
      </c>
      <c r="R899" t="b">
        <v>0</v>
      </c>
      <c r="S899" t="s">
        <v>33</v>
      </c>
      <c r="T899" t="str">
        <f>_xlfn.TEXTBEFORE(Table2[[#This Row],[category &amp; sub-category]],"/")</f>
        <v>theater</v>
      </c>
      <c r="U899" t="str">
        <f>_xlfn.TEXTAFTER(Table2[[#This Row],[category &amp; sub-category]],"/")</f>
        <v>plays</v>
      </c>
    </row>
    <row r="900" spans="1:21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5">
        <f>100*Table2[[#This Row],[pledged]]/Table2[[#This Row],[goal]]</f>
        <v>52.479620323841431</v>
      </c>
      <c r="G900" t="s">
        <v>14</v>
      </c>
      <c r="H900">
        <v>1221</v>
      </c>
      <c r="I900" s="4">
        <f>IF(Table2[[#This Row],[pledged]]&gt;0,Table2[[#This Row],[pledged]]/Table2[[#This Row],[backers_count]],0)</f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8">
        <f t="shared" si="28"/>
        <v>43815.25</v>
      </c>
      <c r="O900" s="8">
        <f t="shared" si="29"/>
        <v>43821.25</v>
      </c>
      <c r="P900" s="5">
        <f>_xlfn.DAYS(Table2[[#This Row],[Date Ended Conversion]],Table2[[#This Row],[Date Created Conversion]])+1</f>
        <v>7</v>
      </c>
      <c r="Q900" t="b">
        <v>0</v>
      </c>
      <c r="R900" t="b">
        <v>0</v>
      </c>
      <c r="S900" t="s">
        <v>42</v>
      </c>
      <c r="T900" t="str">
        <f>_xlfn.TEXTBEFORE(Table2[[#This Row],[category &amp; sub-category]],"/")</f>
        <v>film &amp; video</v>
      </c>
      <c r="U900" t="str">
        <f>_xlfn.TEXTAFTER(Table2[[#This Row],[category &amp; sub-category]],"/")</f>
        <v>documentary</v>
      </c>
    </row>
    <row r="901" spans="1:21" ht="17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5">
        <f>100*Table2[[#This Row],[pledged]]/Table2[[#This Row],[goal]]</f>
        <v>407.09677419354841</v>
      </c>
      <c r="G901" t="s">
        <v>20</v>
      </c>
      <c r="H901">
        <v>123</v>
      </c>
      <c r="I901" s="4">
        <f>IF(Table2[[#This Row],[pledged]]&gt;0,Table2[[#This Row],[pledged]]/Table2[[#This Row],[backers_count]],0)</f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8">
        <f t="shared" si="28"/>
        <v>41554.208333333336</v>
      </c>
      <c r="O901" s="8">
        <f t="shared" si="29"/>
        <v>41572.208333333336</v>
      </c>
      <c r="P901" s="5">
        <f>_xlfn.DAYS(Table2[[#This Row],[Date Ended Conversion]],Table2[[#This Row],[Date Created Conversion]])+1</f>
        <v>19</v>
      </c>
      <c r="Q901" t="b">
        <v>0</v>
      </c>
      <c r="R901" t="b">
        <v>0</v>
      </c>
      <c r="S901" t="s">
        <v>159</v>
      </c>
      <c r="T901" t="str">
        <f>_xlfn.TEXTBEFORE(Table2[[#This Row],[category &amp; sub-category]],"/")</f>
        <v>music</v>
      </c>
      <c r="U901" t="str">
        <f>_xlfn.TEXTAFTER(Table2[[#This Row],[category &amp; sub-category]],"/")</f>
        <v>jazz</v>
      </c>
    </row>
    <row r="902" spans="1:21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5">
        <f>100*Table2[[#This Row],[pledged]]/Table2[[#This Row],[goal]]</f>
        <v>2</v>
      </c>
      <c r="G902" t="s">
        <v>14</v>
      </c>
      <c r="H902">
        <v>1</v>
      </c>
      <c r="I902" s="4">
        <f>IF(Table2[[#This Row],[pledged]]&gt;0,Table2[[#This Row],[pledged]]/Table2[[#This Row],[backers_count]],0)</f>
        <v>2</v>
      </c>
      <c r="J902" t="s">
        <v>21</v>
      </c>
      <c r="K902" t="s">
        <v>22</v>
      </c>
      <c r="L902">
        <v>1411102800</v>
      </c>
      <c r="M902">
        <v>1411189200</v>
      </c>
      <c r="N902" s="8">
        <f t="shared" si="28"/>
        <v>41901.208333333336</v>
      </c>
      <c r="O902" s="8">
        <f t="shared" si="29"/>
        <v>41902.208333333336</v>
      </c>
      <c r="P902" s="5">
        <f>_xlfn.DAYS(Table2[[#This Row],[Date Ended Conversion]],Table2[[#This Row],[Date Created Conversion]])+1</f>
        <v>2</v>
      </c>
      <c r="Q902" t="b">
        <v>0</v>
      </c>
      <c r="R902" t="b">
        <v>1</v>
      </c>
      <c r="S902" t="s">
        <v>28</v>
      </c>
      <c r="T902" t="str">
        <f>_xlfn.TEXTBEFORE(Table2[[#This Row],[category &amp; sub-category]],"/")</f>
        <v>technology</v>
      </c>
      <c r="U902" t="str">
        <f>_xlfn.TEXTAFTER(Table2[[#This Row],[category &amp; sub-category]],"/")</f>
        <v>web</v>
      </c>
    </row>
    <row r="903" spans="1:21" ht="17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5">
        <f>100*Table2[[#This Row],[pledged]]/Table2[[#This Row],[goal]]</f>
        <v>156.17857142857142</v>
      </c>
      <c r="G903" t="s">
        <v>20</v>
      </c>
      <c r="H903">
        <v>159</v>
      </c>
      <c r="I903" s="4">
        <f>IF(Table2[[#This Row],[pledged]]&gt;0,Table2[[#This Row],[pledged]]/Table2[[#This Row],[backers_count]],0)</f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8">
        <f t="shared" si="28"/>
        <v>43298.208333333328</v>
      </c>
      <c r="O903" s="8">
        <f t="shared" si="29"/>
        <v>43331.208333333328</v>
      </c>
      <c r="P903" s="5">
        <f>_xlfn.DAYS(Table2[[#This Row],[Date Ended Conversion]],Table2[[#This Row],[Date Created Conversion]])+1</f>
        <v>34</v>
      </c>
      <c r="Q903" t="b">
        <v>0</v>
      </c>
      <c r="R903" t="b">
        <v>1</v>
      </c>
      <c r="S903" t="s">
        <v>23</v>
      </c>
      <c r="T903" t="str">
        <f>_xlfn.TEXTBEFORE(Table2[[#This Row],[category &amp; sub-category]],"/")</f>
        <v>music</v>
      </c>
      <c r="U903" t="str">
        <f>_xlfn.TEXTAFTER(Table2[[#This Row],[category &amp; sub-category]],"/")</f>
        <v>rock</v>
      </c>
    </row>
    <row r="904" spans="1:21" ht="17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5">
        <f>100*Table2[[#This Row],[pledged]]/Table2[[#This Row],[goal]]</f>
        <v>252.42857142857142</v>
      </c>
      <c r="G904" t="s">
        <v>20</v>
      </c>
      <c r="H904">
        <v>110</v>
      </c>
      <c r="I904" s="4">
        <f>IF(Table2[[#This Row],[pledged]]&gt;0,Table2[[#This Row],[pledged]]/Table2[[#This Row],[backers_count]],0)</f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8">
        <f t="shared" si="28"/>
        <v>42399.25</v>
      </c>
      <c r="O904" s="8">
        <f t="shared" si="29"/>
        <v>42441.25</v>
      </c>
      <c r="P904" s="5">
        <f>_xlfn.DAYS(Table2[[#This Row],[Date Ended Conversion]],Table2[[#This Row],[Date Created Conversion]])+1</f>
        <v>43</v>
      </c>
      <c r="Q904" t="b">
        <v>0</v>
      </c>
      <c r="R904" t="b">
        <v>0</v>
      </c>
      <c r="S904" t="s">
        <v>28</v>
      </c>
      <c r="T904" t="str">
        <f>_xlfn.TEXTBEFORE(Table2[[#This Row],[category &amp; sub-category]],"/")</f>
        <v>technology</v>
      </c>
      <c r="U904" t="str">
        <f>_xlfn.TEXTAFTER(Table2[[#This Row],[category &amp; sub-category]],"/")</f>
        <v>web</v>
      </c>
    </row>
    <row r="905" spans="1:21" ht="34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5">
        <f>100*Table2[[#This Row],[pledged]]/Table2[[#This Row],[goal]]</f>
        <v>1.7292682926829268</v>
      </c>
      <c r="G905" t="s">
        <v>47</v>
      </c>
      <c r="H905">
        <v>14</v>
      </c>
      <c r="I905" s="4">
        <f>IF(Table2[[#This Row],[pledged]]&gt;0,Table2[[#This Row],[pledged]]/Table2[[#This Row],[backers_count]],0)</f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8">
        <f t="shared" si="28"/>
        <v>41034.208333333336</v>
      </c>
      <c r="O905" s="8">
        <f t="shared" si="29"/>
        <v>41049.208333333336</v>
      </c>
      <c r="P905" s="5">
        <f>_xlfn.DAYS(Table2[[#This Row],[Date Ended Conversion]],Table2[[#This Row],[Date Created Conversion]])+1</f>
        <v>16</v>
      </c>
      <c r="Q905" t="b">
        <v>0</v>
      </c>
      <c r="R905" t="b">
        <v>1</v>
      </c>
      <c r="S905" t="s">
        <v>68</v>
      </c>
      <c r="T905" t="str">
        <f>_xlfn.TEXTBEFORE(Table2[[#This Row],[category &amp; sub-category]],"/")</f>
        <v>publishing</v>
      </c>
      <c r="U905" t="str">
        <f>_xlfn.TEXTAFTER(Table2[[#This Row],[category &amp; sub-category]],"/")</f>
        <v>nonfiction</v>
      </c>
    </row>
    <row r="906" spans="1:21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5">
        <f>100*Table2[[#This Row],[pledged]]/Table2[[#This Row],[goal]]</f>
        <v>12.23076923076923</v>
      </c>
      <c r="G906" t="s">
        <v>14</v>
      </c>
      <c r="H906">
        <v>16</v>
      </c>
      <c r="I906" s="4">
        <f>IF(Table2[[#This Row],[pledged]]&gt;0,Table2[[#This Row],[pledged]]/Table2[[#This Row],[backers_count]],0)</f>
        <v>49.6875</v>
      </c>
      <c r="J906" t="s">
        <v>21</v>
      </c>
      <c r="K906" t="s">
        <v>22</v>
      </c>
      <c r="L906">
        <v>1349326800</v>
      </c>
      <c r="M906">
        <v>1349672400</v>
      </c>
      <c r="N906" s="8">
        <f t="shared" si="28"/>
        <v>41186.208333333336</v>
      </c>
      <c r="O906" s="8">
        <f t="shared" si="29"/>
        <v>41190.208333333336</v>
      </c>
      <c r="P906" s="5">
        <f>_xlfn.DAYS(Table2[[#This Row],[Date Ended Conversion]],Table2[[#This Row],[Date Created Conversion]])+1</f>
        <v>5</v>
      </c>
      <c r="Q906" t="b">
        <v>0</v>
      </c>
      <c r="R906" t="b">
        <v>0</v>
      </c>
      <c r="S906" t="s">
        <v>133</v>
      </c>
      <c r="T906" t="str">
        <f>_xlfn.TEXTBEFORE(Table2[[#This Row],[category &amp; sub-category]],"/")</f>
        <v>publishing</v>
      </c>
      <c r="U906" t="str">
        <f>_xlfn.TEXTAFTER(Table2[[#This Row],[category &amp; sub-category]],"/")</f>
        <v>radio &amp; podcasts</v>
      </c>
    </row>
    <row r="907" spans="1:21" ht="17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5">
        <f>100*Table2[[#This Row],[pledged]]/Table2[[#This Row],[goal]]</f>
        <v>163.98734177215189</v>
      </c>
      <c r="G907" t="s">
        <v>20</v>
      </c>
      <c r="H907">
        <v>236</v>
      </c>
      <c r="I907" s="4">
        <f>IF(Table2[[#This Row],[pledged]]&gt;0,Table2[[#This Row],[pledged]]/Table2[[#This Row],[backers_count]],0)</f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8">
        <f t="shared" si="28"/>
        <v>41536.208333333336</v>
      </c>
      <c r="O907" s="8">
        <f t="shared" si="29"/>
        <v>41539.208333333336</v>
      </c>
      <c r="P907" s="5">
        <f>_xlfn.DAYS(Table2[[#This Row],[Date Ended Conversion]],Table2[[#This Row],[Date Created Conversion]])+1</f>
        <v>4</v>
      </c>
      <c r="Q907" t="b">
        <v>0</v>
      </c>
      <c r="R907" t="b">
        <v>0</v>
      </c>
      <c r="S907" t="s">
        <v>33</v>
      </c>
      <c r="T907" t="str">
        <f>_xlfn.TEXTBEFORE(Table2[[#This Row],[category &amp; sub-category]],"/")</f>
        <v>theater</v>
      </c>
      <c r="U907" t="str">
        <f>_xlfn.TEXTAFTER(Table2[[#This Row],[category &amp; sub-category]],"/")</f>
        <v>plays</v>
      </c>
    </row>
    <row r="908" spans="1:21" ht="34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5">
        <f>100*Table2[[#This Row],[pledged]]/Table2[[#This Row],[goal]]</f>
        <v>162.98181818181817</v>
      </c>
      <c r="G908" t="s">
        <v>20</v>
      </c>
      <c r="H908">
        <v>191</v>
      </c>
      <c r="I908" s="4">
        <f>IF(Table2[[#This Row],[pledged]]&gt;0,Table2[[#This Row],[pledged]]/Table2[[#This Row],[backers_count]],0)</f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8">
        <f t="shared" si="28"/>
        <v>42868.208333333328</v>
      </c>
      <c r="O908" s="8">
        <f t="shared" si="29"/>
        <v>42904.208333333328</v>
      </c>
      <c r="P908" s="5">
        <f>_xlfn.DAYS(Table2[[#This Row],[Date Ended Conversion]],Table2[[#This Row],[Date Created Conversion]])+1</f>
        <v>37</v>
      </c>
      <c r="Q908" t="b">
        <v>1</v>
      </c>
      <c r="R908" t="b">
        <v>1</v>
      </c>
      <c r="S908" t="s">
        <v>42</v>
      </c>
      <c r="T908" t="str">
        <f>_xlfn.TEXTBEFORE(Table2[[#This Row],[category &amp; sub-category]],"/")</f>
        <v>film &amp; video</v>
      </c>
      <c r="U908" t="str">
        <f>_xlfn.TEXTAFTER(Table2[[#This Row],[category &amp; sub-category]],"/")</f>
        <v>documentary</v>
      </c>
    </row>
    <row r="909" spans="1:21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5">
        <f>100*Table2[[#This Row],[pledged]]/Table2[[#This Row],[goal]]</f>
        <v>20.252747252747252</v>
      </c>
      <c r="G909" t="s">
        <v>14</v>
      </c>
      <c r="H909">
        <v>41</v>
      </c>
      <c r="I909" s="4">
        <f>IF(Table2[[#This Row],[pledged]]&gt;0,Table2[[#This Row],[pledged]]/Table2[[#This Row],[backers_count]],0)</f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8">
        <f t="shared" si="28"/>
        <v>40660.208333333336</v>
      </c>
      <c r="O909" s="8">
        <f t="shared" si="29"/>
        <v>40667.208333333336</v>
      </c>
      <c r="P909" s="5">
        <f>_xlfn.DAYS(Table2[[#This Row],[Date Ended Conversion]],Table2[[#This Row],[Date Created Conversion]])+1</f>
        <v>8</v>
      </c>
      <c r="Q909" t="b">
        <v>0</v>
      </c>
      <c r="R909" t="b">
        <v>0</v>
      </c>
      <c r="S909" t="s">
        <v>33</v>
      </c>
      <c r="T909" t="str">
        <f>_xlfn.TEXTBEFORE(Table2[[#This Row],[category &amp; sub-category]],"/")</f>
        <v>theater</v>
      </c>
      <c r="U909" t="str">
        <f>_xlfn.TEXTAFTER(Table2[[#This Row],[category &amp; sub-category]],"/")</f>
        <v>plays</v>
      </c>
    </row>
    <row r="910" spans="1:21" ht="17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5">
        <f>100*Table2[[#This Row],[pledged]]/Table2[[#This Row],[goal]]</f>
        <v>319.24083769633506</v>
      </c>
      <c r="G910" t="s">
        <v>20</v>
      </c>
      <c r="H910">
        <v>3934</v>
      </c>
      <c r="I910" s="4">
        <f>IF(Table2[[#This Row],[pledged]]&gt;0,Table2[[#This Row],[pledged]]/Table2[[#This Row],[backers_count]],0)</f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8">
        <f t="shared" si="28"/>
        <v>41031.208333333336</v>
      </c>
      <c r="O910" s="8">
        <f t="shared" si="29"/>
        <v>41042.208333333336</v>
      </c>
      <c r="P910" s="5">
        <f>_xlfn.DAYS(Table2[[#This Row],[Date Ended Conversion]],Table2[[#This Row],[Date Created Conversion]])+1</f>
        <v>12</v>
      </c>
      <c r="Q910" t="b">
        <v>0</v>
      </c>
      <c r="R910" t="b">
        <v>0</v>
      </c>
      <c r="S910" t="s">
        <v>89</v>
      </c>
      <c r="T910" t="str">
        <f>_xlfn.TEXTBEFORE(Table2[[#This Row],[category &amp; sub-category]],"/")</f>
        <v>games</v>
      </c>
      <c r="U910" t="str">
        <f>_xlfn.TEXTAFTER(Table2[[#This Row],[category &amp; sub-category]],"/")</f>
        <v>video games</v>
      </c>
    </row>
    <row r="911" spans="1:21" ht="17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5">
        <f>100*Table2[[#This Row],[pledged]]/Table2[[#This Row],[goal]]</f>
        <v>478.94444444444446</v>
      </c>
      <c r="G911" t="s">
        <v>20</v>
      </c>
      <c r="H911">
        <v>80</v>
      </c>
      <c r="I911" s="4">
        <f>IF(Table2[[#This Row],[pledged]]&gt;0,Table2[[#This Row],[pledged]]/Table2[[#This Row],[backers_count]],0)</f>
        <v>107.7625</v>
      </c>
      <c r="J911" t="s">
        <v>15</v>
      </c>
      <c r="K911" t="s">
        <v>16</v>
      </c>
      <c r="L911">
        <v>1528088400</v>
      </c>
      <c r="M911">
        <v>1530421200</v>
      </c>
      <c r="N911" s="8">
        <f t="shared" si="28"/>
        <v>43255.208333333328</v>
      </c>
      <c r="O911" s="8">
        <f t="shared" si="29"/>
        <v>43282.208333333328</v>
      </c>
      <c r="P911" s="5">
        <f>_xlfn.DAYS(Table2[[#This Row],[Date Ended Conversion]],Table2[[#This Row],[Date Created Conversion]])+1</f>
        <v>28</v>
      </c>
      <c r="Q911" t="b">
        <v>0</v>
      </c>
      <c r="R911" t="b">
        <v>1</v>
      </c>
      <c r="S911" t="s">
        <v>33</v>
      </c>
      <c r="T911" t="str">
        <f>_xlfn.TEXTBEFORE(Table2[[#This Row],[category &amp; sub-category]],"/")</f>
        <v>theater</v>
      </c>
      <c r="U911" t="str">
        <f>_xlfn.TEXTAFTER(Table2[[#This Row],[category &amp; sub-category]],"/")</f>
        <v>plays</v>
      </c>
    </row>
    <row r="912" spans="1:21" ht="17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5">
        <f>100*Table2[[#This Row],[pledged]]/Table2[[#This Row],[goal]]</f>
        <v>19.556634304207119</v>
      </c>
      <c r="G912" t="s">
        <v>74</v>
      </c>
      <c r="H912">
        <v>296</v>
      </c>
      <c r="I912" s="4">
        <f>IF(Table2[[#This Row],[pledged]]&gt;0,Table2[[#This Row],[pledged]]/Table2[[#This Row],[backers_count]],0)</f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8">
        <f t="shared" si="28"/>
        <v>42026.25</v>
      </c>
      <c r="O912" s="8">
        <f t="shared" si="29"/>
        <v>42027.25</v>
      </c>
      <c r="P912" s="5">
        <f>_xlfn.DAYS(Table2[[#This Row],[Date Ended Conversion]],Table2[[#This Row],[Date Created Conversion]])+1</f>
        <v>2</v>
      </c>
      <c r="Q912" t="b">
        <v>0</v>
      </c>
      <c r="R912" t="b">
        <v>0</v>
      </c>
      <c r="S912" t="s">
        <v>33</v>
      </c>
      <c r="T912" t="str">
        <f>_xlfn.TEXTBEFORE(Table2[[#This Row],[category &amp; sub-category]],"/")</f>
        <v>theater</v>
      </c>
      <c r="U912" t="str">
        <f>_xlfn.TEXTAFTER(Table2[[#This Row],[category &amp; sub-category]],"/")</f>
        <v>plays</v>
      </c>
    </row>
    <row r="913" spans="1:21" ht="17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5">
        <f>100*Table2[[#This Row],[pledged]]/Table2[[#This Row],[goal]]</f>
        <v>198.94827586206895</v>
      </c>
      <c r="G913" t="s">
        <v>20</v>
      </c>
      <c r="H913">
        <v>462</v>
      </c>
      <c r="I913" s="4">
        <f>IF(Table2[[#This Row],[pledged]]&gt;0,Table2[[#This Row],[pledged]]/Table2[[#This Row],[backers_count]],0)</f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8">
        <f t="shared" si="28"/>
        <v>43717.208333333328</v>
      </c>
      <c r="O913" s="8">
        <f t="shared" si="29"/>
        <v>43719.208333333328</v>
      </c>
      <c r="P913" s="5">
        <f>_xlfn.DAYS(Table2[[#This Row],[Date Ended Conversion]],Table2[[#This Row],[Date Created Conversion]])+1</f>
        <v>3</v>
      </c>
      <c r="Q913" t="b">
        <v>1</v>
      </c>
      <c r="R913" t="b">
        <v>0</v>
      </c>
      <c r="S913" t="s">
        <v>28</v>
      </c>
      <c r="T913" t="str">
        <f>_xlfn.TEXTBEFORE(Table2[[#This Row],[category &amp; sub-category]],"/")</f>
        <v>technology</v>
      </c>
      <c r="U913" t="str">
        <f>_xlfn.TEXTAFTER(Table2[[#This Row],[category &amp; sub-category]],"/")</f>
        <v>web</v>
      </c>
    </row>
    <row r="914" spans="1:21" ht="17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5">
        <f>100*Table2[[#This Row],[pledged]]/Table2[[#This Row],[goal]]</f>
        <v>795</v>
      </c>
      <c r="G914" t="s">
        <v>20</v>
      </c>
      <c r="H914">
        <v>179</v>
      </c>
      <c r="I914" s="4">
        <f>IF(Table2[[#This Row],[pledged]]&gt;0,Table2[[#This Row],[pledged]]/Table2[[#This Row],[backers_count]],0)</f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8">
        <f t="shared" si="28"/>
        <v>41157.208333333336</v>
      </c>
      <c r="O914" s="8">
        <f t="shared" si="29"/>
        <v>41170.208333333336</v>
      </c>
      <c r="P914" s="5">
        <f>_xlfn.DAYS(Table2[[#This Row],[Date Ended Conversion]],Table2[[#This Row],[Date Created Conversion]])+1</f>
        <v>14</v>
      </c>
      <c r="Q914" t="b">
        <v>1</v>
      </c>
      <c r="R914" t="b">
        <v>0</v>
      </c>
      <c r="S914" t="s">
        <v>53</v>
      </c>
      <c r="T914" t="str">
        <f>_xlfn.TEXTBEFORE(Table2[[#This Row],[category &amp; sub-category]],"/")</f>
        <v>film &amp; video</v>
      </c>
      <c r="U914" t="str">
        <f>_xlfn.TEXTAFTER(Table2[[#This Row],[category &amp; sub-category]],"/")</f>
        <v>drama</v>
      </c>
    </row>
    <row r="915" spans="1:21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5">
        <f>100*Table2[[#This Row],[pledged]]/Table2[[#This Row],[goal]]</f>
        <v>50.621082621082621</v>
      </c>
      <c r="G915" t="s">
        <v>14</v>
      </c>
      <c r="H915">
        <v>523</v>
      </c>
      <c r="I915" s="4">
        <f>IF(Table2[[#This Row],[pledged]]&gt;0,Table2[[#This Row],[pledged]]/Table2[[#This Row],[backers_count]],0)</f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8">
        <f t="shared" si="28"/>
        <v>43597.208333333328</v>
      </c>
      <c r="O915" s="8">
        <f t="shared" si="29"/>
        <v>43610.208333333328</v>
      </c>
      <c r="P915" s="5">
        <f>_xlfn.DAYS(Table2[[#This Row],[Date Ended Conversion]],Table2[[#This Row],[Date Created Conversion]])+1</f>
        <v>14</v>
      </c>
      <c r="Q915" t="b">
        <v>0</v>
      </c>
      <c r="R915" t="b">
        <v>0</v>
      </c>
      <c r="S915" t="s">
        <v>53</v>
      </c>
      <c r="T915" t="str">
        <f>_xlfn.TEXTBEFORE(Table2[[#This Row],[category &amp; sub-category]],"/")</f>
        <v>film &amp; video</v>
      </c>
      <c r="U915" t="str">
        <f>_xlfn.TEXTAFTER(Table2[[#This Row],[category &amp; sub-category]],"/")</f>
        <v>drama</v>
      </c>
    </row>
    <row r="916" spans="1:21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5">
        <f>100*Table2[[#This Row],[pledged]]/Table2[[#This Row],[goal]]</f>
        <v>57.4375</v>
      </c>
      <c r="G916" t="s">
        <v>14</v>
      </c>
      <c r="H916">
        <v>141</v>
      </c>
      <c r="I916" s="4">
        <f>IF(Table2[[#This Row],[pledged]]&gt;0,Table2[[#This Row],[pledged]]/Table2[[#This Row],[backers_count]],0)</f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8">
        <f t="shared" si="28"/>
        <v>41490.208333333336</v>
      </c>
      <c r="O916" s="8">
        <f t="shared" si="29"/>
        <v>41502.208333333336</v>
      </c>
      <c r="P916" s="5">
        <f>_xlfn.DAYS(Table2[[#This Row],[Date Ended Conversion]],Table2[[#This Row],[Date Created Conversion]])+1</f>
        <v>13</v>
      </c>
      <c r="Q916" t="b">
        <v>0</v>
      </c>
      <c r="R916" t="b">
        <v>0</v>
      </c>
      <c r="S916" t="s">
        <v>33</v>
      </c>
      <c r="T916" t="str">
        <f>_xlfn.TEXTBEFORE(Table2[[#This Row],[category &amp; sub-category]],"/")</f>
        <v>theater</v>
      </c>
      <c r="U916" t="str">
        <f>_xlfn.TEXTAFTER(Table2[[#This Row],[category &amp; sub-category]],"/")</f>
        <v>plays</v>
      </c>
    </row>
    <row r="917" spans="1:21" ht="17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5">
        <f>100*Table2[[#This Row],[pledged]]/Table2[[#This Row],[goal]]</f>
        <v>155.62827640984909</v>
      </c>
      <c r="G917" t="s">
        <v>20</v>
      </c>
      <c r="H917">
        <v>1866</v>
      </c>
      <c r="I917" s="4">
        <f>IF(Table2[[#This Row],[pledged]]&gt;0,Table2[[#This Row],[pledged]]/Table2[[#This Row],[backers_count]],0)</f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8">
        <f t="shared" si="28"/>
        <v>42976.208333333328</v>
      </c>
      <c r="O917" s="8">
        <f t="shared" si="29"/>
        <v>42985.208333333328</v>
      </c>
      <c r="P917" s="5">
        <f>_xlfn.DAYS(Table2[[#This Row],[Date Ended Conversion]],Table2[[#This Row],[Date Created Conversion]])+1</f>
        <v>10</v>
      </c>
      <c r="Q917" t="b">
        <v>0</v>
      </c>
      <c r="R917" t="b">
        <v>0</v>
      </c>
      <c r="S917" t="s">
        <v>269</v>
      </c>
      <c r="T917" t="str">
        <f>_xlfn.TEXTBEFORE(Table2[[#This Row],[category &amp; sub-category]],"/")</f>
        <v>film &amp; video</v>
      </c>
      <c r="U917" t="str">
        <f>_xlfn.TEXTAFTER(Table2[[#This Row],[category &amp; sub-category]],"/")</f>
        <v>television</v>
      </c>
    </row>
    <row r="918" spans="1:21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5">
        <f>100*Table2[[#This Row],[pledged]]/Table2[[#This Row],[goal]]</f>
        <v>36.297297297297298</v>
      </c>
      <c r="G918" t="s">
        <v>14</v>
      </c>
      <c r="H918">
        <v>52</v>
      </c>
      <c r="I918" s="4">
        <f>IF(Table2[[#This Row],[pledged]]&gt;0,Table2[[#This Row],[pledged]]/Table2[[#This Row],[backers_count]],0)</f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8">
        <f t="shared" si="28"/>
        <v>41991.25</v>
      </c>
      <c r="O918" s="8">
        <f t="shared" si="29"/>
        <v>42000.25</v>
      </c>
      <c r="P918" s="5">
        <f>_xlfn.DAYS(Table2[[#This Row],[Date Ended Conversion]],Table2[[#This Row],[Date Created Conversion]])+1</f>
        <v>10</v>
      </c>
      <c r="Q918" t="b">
        <v>0</v>
      </c>
      <c r="R918" t="b">
        <v>0</v>
      </c>
      <c r="S918" t="s">
        <v>122</v>
      </c>
      <c r="T918" t="str">
        <f>_xlfn.TEXTBEFORE(Table2[[#This Row],[category &amp; sub-category]],"/")</f>
        <v>photography</v>
      </c>
      <c r="U918" t="str">
        <f>_xlfn.TEXTAFTER(Table2[[#This Row],[category &amp; sub-category]],"/")</f>
        <v>photography books</v>
      </c>
    </row>
    <row r="919" spans="1:21" ht="17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5">
        <f>100*Table2[[#This Row],[pledged]]/Table2[[#This Row],[goal]]</f>
        <v>58.25</v>
      </c>
      <c r="G919" t="s">
        <v>47</v>
      </c>
      <c r="H919">
        <v>27</v>
      </c>
      <c r="I919" s="4">
        <f>IF(Table2[[#This Row],[pledged]]&gt;0,Table2[[#This Row],[pledged]]/Table2[[#This Row],[backers_count]],0)</f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8">
        <f t="shared" si="28"/>
        <v>40722.208333333336</v>
      </c>
      <c r="O919" s="8">
        <f t="shared" si="29"/>
        <v>40746.208333333336</v>
      </c>
      <c r="P919" s="5">
        <f>_xlfn.DAYS(Table2[[#This Row],[Date Ended Conversion]],Table2[[#This Row],[Date Created Conversion]])+1</f>
        <v>25</v>
      </c>
      <c r="Q919" t="b">
        <v>0</v>
      </c>
      <c r="R919" t="b">
        <v>1</v>
      </c>
      <c r="S919" t="s">
        <v>100</v>
      </c>
      <c r="T919" t="str">
        <f>_xlfn.TEXTBEFORE(Table2[[#This Row],[category &amp; sub-category]],"/")</f>
        <v>film &amp; video</v>
      </c>
      <c r="U919" t="str">
        <f>_xlfn.TEXTAFTER(Table2[[#This Row],[category &amp; sub-category]],"/")</f>
        <v>shorts</v>
      </c>
    </row>
    <row r="920" spans="1:21" ht="17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5">
        <f>100*Table2[[#This Row],[pledged]]/Table2[[#This Row],[goal]]</f>
        <v>237.39473684210526</v>
      </c>
      <c r="G920" t="s">
        <v>20</v>
      </c>
      <c r="H920">
        <v>156</v>
      </c>
      <c r="I920" s="4">
        <f>IF(Table2[[#This Row],[pledged]]&gt;0,Table2[[#This Row],[pledged]]/Table2[[#This Row],[backers_count]],0)</f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8">
        <f t="shared" si="28"/>
        <v>41117.208333333336</v>
      </c>
      <c r="O920" s="8">
        <f t="shared" si="29"/>
        <v>41128.208333333336</v>
      </c>
      <c r="P920" s="5">
        <f>_xlfn.DAYS(Table2[[#This Row],[Date Ended Conversion]],Table2[[#This Row],[Date Created Conversion]])+1</f>
        <v>12</v>
      </c>
      <c r="Q920" t="b">
        <v>0</v>
      </c>
      <c r="R920" t="b">
        <v>0</v>
      </c>
      <c r="S920" t="s">
        <v>133</v>
      </c>
      <c r="T920" t="str">
        <f>_xlfn.TEXTBEFORE(Table2[[#This Row],[category &amp; sub-category]],"/")</f>
        <v>publishing</v>
      </c>
      <c r="U920" t="str">
        <f>_xlfn.TEXTAFTER(Table2[[#This Row],[category &amp; sub-category]],"/")</f>
        <v>radio &amp; podcasts</v>
      </c>
    </row>
    <row r="921" spans="1:21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5">
        <f>100*Table2[[#This Row],[pledged]]/Table2[[#This Row],[goal]]</f>
        <v>58.75</v>
      </c>
      <c r="G921" t="s">
        <v>14</v>
      </c>
      <c r="H921">
        <v>225</v>
      </c>
      <c r="I921" s="4">
        <f>IF(Table2[[#This Row],[pledged]]&gt;0,Table2[[#This Row],[pledged]]/Table2[[#This Row],[backers_count]],0)</f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8">
        <f t="shared" si="28"/>
        <v>43022.208333333328</v>
      </c>
      <c r="O921" s="8">
        <f t="shared" si="29"/>
        <v>43054.25</v>
      </c>
      <c r="P921" s="5">
        <f>_xlfn.DAYS(Table2[[#This Row],[Date Ended Conversion]],Table2[[#This Row],[Date Created Conversion]])+1</f>
        <v>33</v>
      </c>
      <c r="Q921" t="b">
        <v>0</v>
      </c>
      <c r="R921" t="b">
        <v>1</v>
      </c>
      <c r="S921" t="s">
        <v>33</v>
      </c>
      <c r="T921" t="str">
        <f>_xlfn.TEXTBEFORE(Table2[[#This Row],[category &amp; sub-category]],"/")</f>
        <v>theater</v>
      </c>
      <c r="U921" t="str">
        <f>_xlfn.TEXTAFTER(Table2[[#This Row],[category &amp; sub-category]],"/")</f>
        <v>plays</v>
      </c>
    </row>
    <row r="922" spans="1:21" ht="17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5">
        <f>100*Table2[[#This Row],[pledged]]/Table2[[#This Row],[goal]]</f>
        <v>182.56603773584905</v>
      </c>
      <c r="G922" t="s">
        <v>20</v>
      </c>
      <c r="H922">
        <v>255</v>
      </c>
      <c r="I922" s="4">
        <f>IF(Table2[[#This Row],[pledged]]&gt;0,Table2[[#This Row],[pledged]]/Table2[[#This Row],[backers_count]],0)</f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8">
        <f t="shared" si="28"/>
        <v>43503.25</v>
      </c>
      <c r="O922" s="8">
        <f t="shared" si="29"/>
        <v>43523.25</v>
      </c>
      <c r="P922" s="5">
        <f>_xlfn.DAYS(Table2[[#This Row],[Date Ended Conversion]],Table2[[#This Row],[Date Created Conversion]])+1</f>
        <v>21</v>
      </c>
      <c r="Q922" t="b">
        <v>1</v>
      </c>
      <c r="R922" t="b">
        <v>0</v>
      </c>
      <c r="S922" t="s">
        <v>71</v>
      </c>
      <c r="T922" t="str">
        <f>_xlfn.TEXTBEFORE(Table2[[#This Row],[category &amp; sub-category]],"/")</f>
        <v>film &amp; video</v>
      </c>
      <c r="U922" t="str">
        <f>_xlfn.TEXTAFTER(Table2[[#This Row],[category &amp; sub-category]],"/")</f>
        <v>animation</v>
      </c>
    </row>
    <row r="923" spans="1:21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5">
        <f>100*Table2[[#This Row],[pledged]]/Table2[[#This Row],[goal]]</f>
        <v>0.75436408977556113</v>
      </c>
      <c r="G923" t="s">
        <v>14</v>
      </c>
      <c r="H923">
        <v>38</v>
      </c>
      <c r="I923" s="4">
        <f>IF(Table2[[#This Row],[pledged]]&gt;0,Table2[[#This Row],[pledged]]/Table2[[#This Row],[backers_count]],0)</f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8">
        <f t="shared" si="28"/>
        <v>40951.25</v>
      </c>
      <c r="O923" s="8">
        <f t="shared" si="29"/>
        <v>40965.25</v>
      </c>
      <c r="P923" s="5">
        <f>_xlfn.DAYS(Table2[[#This Row],[Date Ended Conversion]],Table2[[#This Row],[Date Created Conversion]])+1</f>
        <v>15</v>
      </c>
      <c r="Q923" t="b">
        <v>0</v>
      </c>
      <c r="R923" t="b">
        <v>0</v>
      </c>
      <c r="S923" t="s">
        <v>28</v>
      </c>
      <c r="T923" t="str">
        <f>_xlfn.TEXTBEFORE(Table2[[#This Row],[category &amp; sub-category]],"/")</f>
        <v>technology</v>
      </c>
      <c r="U923" t="str">
        <f>_xlfn.TEXTAFTER(Table2[[#This Row],[category &amp; sub-category]],"/")</f>
        <v>web</v>
      </c>
    </row>
    <row r="924" spans="1:21" ht="17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5">
        <f>100*Table2[[#This Row],[pledged]]/Table2[[#This Row],[goal]]</f>
        <v>175.95330739299609</v>
      </c>
      <c r="G924" t="s">
        <v>20</v>
      </c>
      <c r="H924">
        <v>2261</v>
      </c>
      <c r="I924" s="4">
        <f>IF(Table2[[#This Row],[pledged]]&gt;0,Table2[[#This Row],[pledged]]/Table2[[#This Row],[backers_count]],0)</f>
        <v>40</v>
      </c>
      <c r="J924" t="s">
        <v>21</v>
      </c>
      <c r="K924" t="s">
        <v>22</v>
      </c>
      <c r="L924">
        <v>1544335200</v>
      </c>
      <c r="M924">
        <v>1545112800</v>
      </c>
      <c r="N924" s="8">
        <f t="shared" si="28"/>
        <v>43443.25</v>
      </c>
      <c r="O924" s="8">
        <f t="shared" si="29"/>
        <v>43452.25</v>
      </c>
      <c r="P924" s="5">
        <f>_xlfn.DAYS(Table2[[#This Row],[Date Ended Conversion]],Table2[[#This Row],[Date Created Conversion]])+1</f>
        <v>10</v>
      </c>
      <c r="Q924" t="b">
        <v>0</v>
      </c>
      <c r="R924" t="b">
        <v>1</v>
      </c>
      <c r="S924" t="s">
        <v>319</v>
      </c>
      <c r="T924" t="str">
        <f>_xlfn.TEXTBEFORE(Table2[[#This Row],[category &amp; sub-category]],"/")</f>
        <v>music</v>
      </c>
      <c r="U924" t="str">
        <f>_xlfn.TEXTAFTER(Table2[[#This Row],[category &amp; sub-category]],"/")</f>
        <v>world music</v>
      </c>
    </row>
    <row r="925" spans="1:21" ht="17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5">
        <f>100*Table2[[#This Row],[pledged]]/Table2[[#This Row],[goal]]</f>
        <v>237.88235294117646</v>
      </c>
      <c r="G925" t="s">
        <v>20</v>
      </c>
      <c r="H925">
        <v>40</v>
      </c>
      <c r="I925" s="4">
        <f>IF(Table2[[#This Row],[pledged]]&gt;0,Table2[[#This Row],[pledged]]/Table2[[#This Row],[backers_count]],0)</f>
        <v>101.1</v>
      </c>
      <c r="J925" t="s">
        <v>21</v>
      </c>
      <c r="K925" t="s">
        <v>22</v>
      </c>
      <c r="L925">
        <v>1279083600</v>
      </c>
      <c r="M925">
        <v>1279170000</v>
      </c>
      <c r="N925" s="8">
        <f t="shared" si="28"/>
        <v>40373.208333333336</v>
      </c>
      <c r="O925" s="8">
        <f t="shared" si="29"/>
        <v>40374.208333333336</v>
      </c>
      <c r="P925" s="5">
        <f>_xlfn.DAYS(Table2[[#This Row],[Date Ended Conversion]],Table2[[#This Row],[Date Created Conversion]])+1</f>
        <v>2</v>
      </c>
      <c r="Q925" t="b">
        <v>0</v>
      </c>
      <c r="R925" t="b">
        <v>0</v>
      </c>
      <c r="S925" t="s">
        <v>33</v>
      </c>
      <c r="T925" t="str">
        <f>_xlfn.TEXTBEFORE(Table2[[#This Row],[category &amp; sub-category]],"/")</f>
        <v>theater</v>
      </c>
      <c r="U925" t="str">
        <f>_xlfn.TEXTAFTER(Table2[[#This Row],[category &amp; sub-category]],"/")</f>
        <v>plays</v>
      </c>
    </row>
    <row r="926" spans="1:21" ht="17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5">
        <f>100*Table2[[#This Row],[pledged]]/Table2[[#This Row],[goal]]</f>
        <v>488.05076142131981</v>
      </c>
      <c r="G926" t="s">
        <v>20</v>
      </c>
      <c r="H926">
        <v>2289</v>
      </c>
      <c r="I926" s="4">
        <f>IF(Table2[[#This Row],[pledged]]&gt;0,Table2[[#This Row],[pledged]]/Table2[[#This Row],[backers_count]],0)</f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8">
        <f t="shared" si="28"/>
        <v>43769.208333333328</v>
      </c>
      <c r="O926" s="8">
        <f t="shared" si="29"/>
        <v>43780.25</v>
      </c>
      <c r="P926" s="5">
        <f>_xlfn.DAYS(Table2[[#This Row],[Date Ended Conversion]],Table2[[#This Row],[Date Created Conversion]])+1</f>
        <v>12</v>
      </c>
      <c r="Q926" t="b">
        <v>0</v>
      </c>
      <c r="R926" t="b">
        <v>0</v>
      </c>
      <c r="S926" t="s">
        <v>33</v>
      </c>
      <c r="T926" t="str">
        <f>_xlfn.TEXTBEFORE(Table2[[#This Row],[category &amp; sub-category]],"/")</f>
        <v>theater</v>
      </c>
      <c r="U926" t="str">
        <f>_xlfn.TEXTAFTER(Table2[[#This Row],[category &amp; sub-category]],"/")</f>
        <v>plays</v>
      </c>
    </row>
    <row r="927" spans="1:21" ht="34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5">
        <f>100*Table2[[#This Row],[pledged]]/Table2[[#This Row],[goal]]</f>
        <v>224.06666666666666</v>
      </c>
      <c r="G927" t="s">
        <v>20</v>
      </c>
      <c r="H927">
        <v>65</v>
      </c>
      <c r="I927" s="4">
        <f>IF(Table2[[#This Row],[pledged]]&gt;0,Table2[[#This Row],[pledged]]/Table2[[#This Row],[backers_count]],0)</f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8">
        <f t="shared" si="28"/>
        <v>43000.208333333328</v>
      </c>
      <c r="O927" s="8">
        <f t="shared" si="29"/>
        <v>43012.208333333328</v>
      </c>
      <c r="P927" s="5">
        <f>_xlfn.DAYS(Table2[[#This Row],[Date Ended Conversion]],Table2[[#This Row],[Date Created Conversion]])+1</f>
        <v>13</v>
      </c>
      <c r="Q927" t="b">
        <v>0</v>
      </c>
      <c r="R927" t="b">
        <v>0</v>
      </c>
      <c r="S927" t="s">
        <v>33</v>
      </c>
      <c r="T927" t="str">
        <f>_xlfn.TEXTBEFORE(Table2[[#This Row],[category &amp; sub-category]],"/")</f>
        <v>theater</v>
      </c>
      <c r="U927" t="str">
        <f>_xlfn.TEXTAFTER(Table2[[#This Row],[category &amp; sub-category]],"/")</f>
        <v>plays</v>
      </c>
    </row>
    <row r="928" spans="1:21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5">
        <f>100*Table2[[#This Row],[pledged]]/Table2[[#This Row],[goal]]</f>
        <v>18.126436781609197</v>
      </c>
      <c r="G928" t="s">
        <v>14</v>
      </c>
      <c r="H928">
        <v>15</v>
      </c>
      <c r="I928" s="4">
        <f>IF(Table2[[#This Row],[pledged]]&gt;0,Table2[[#This Row],[pledged]]/Table2[[#This Row],[backers_count]],0)</f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8">
        <f t="shared" si="28"/>
        <v>42502.208333333328</v>
      </c>
      <c r="O928" s="8">
        <f t="shared" si="29"/>
        <v>42506.208333333328</v>
      </c>
      <c r="P928" s="5">
        <f>_xlfn.DAYS(Table2[[#This Row],[Date Ended Conversion]],Table2[[#This Row],[Date Created Conversion]])+1</f>
        <v>5</v>
      </c>
      <c r="Q928" t="b">
        <v>0</v>
      </c>
      <c r="R928" t="b">
        <v>0</v>
      </c>
      <c r="S928" t="s">
        <v>17</v>
      </c>
      <c r="T928" t="str">
        <f>_xlfn.TEXTBEFORE(Table2[[#This Row],[category &amp; sub-category]],"/")</f>
        <v>food</v>
      </c>
      <c r="U928" t="str">
        <f>_xlfn.TEXTAFTER(Table2[[#This Row],[category &amp; sub-category]],"/")</f>
        <v>food trucks</v>
      </c>
    </row>
    <row r="929" spans="1:21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5">
        <f>100*Table2[[#This Row],[pledged]]/Table2[[#This Row],[goal]]</f>
        <v>45.847222222222221</v>
      </c>
      <c r="G929" t="s">
        <v>14</v>
      </c>
      <c r="H929">
        <v>37</v>
      </c>
      <c r="I929" s="4">
        <f>IF(Table2[[#This Row],[pledged]]&gt;0,Table2[[#This Row],[pledged]]/Table2[[#This Row],[backers_count]],0)</f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8">
        <f t="shared" si="28"/>
        <v>41102.208333333336</v>
      </c>
      <c r="O929" s="8">
        <f t="shared" si="29"/>
        <v>41131.208333333336</v>
      </c>
      <c r="P929" s="5">
        <f>_xlfn.DAYS(Table2[[#This Row],[Date Ended Conversion]],Table2[[#This Row],[Date Created Conversion]])+1</f>
        <v>30</v>
      </c>
      <c r="Q929" t="b">
        <v>0</v>
      </c>
      <c r="R929" t="b">
        <v>0</v>
      </c>
      <c r="S929" t="s">
        <v>33</v>
      </c>
      <c r="T929" t="str">
        <f>_xlfn.TEXTBEFORE(Table2[[#This Row],[category &amp; sub-category]],"/")</f>
        <v>theater</v>
      </c>
      <c r="U929" t="str">
        <f>_xlfn.TEXTAFTER(Table2[[#This Row],[category &amp; sub-category]],"/")</f>
        <v>plays</v>
      </c>
    </row>
    <row r="930" spans="1:21" ht="17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5">
        <f>100*Table2[[#This Row],[pledged]]/Table2[[#This Row],[goal]]</f>
        <v>117.31541218637993</v>
      </c>
      <c r="G930" t="s">
        <v>20</v>
      </c>
      <c r="H930">
        <v>3777</v>
      </c>
      <c r="I930" s="4">
        <f>IF(Table2[[#This Row],[pledged]]&gt;0,Table2[[#This Row],[pledged]]/Table2[[#This Row],[backers_count]],0)</f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8">
        <f t="shared" si="28"/>
        <v>41637.25</v>
      </c>
      <c r="O930" s="8">
        <f t="shared" si="29"/>
        <v>41646.25</v>
      </c>
      <c r="P930" s="5">
        <f>_xlfn.DAYS(Table2[[#This Row],[Date Ended Conversion]],Table2[[#This Row],[Date Created Conversion]])+1</f>
        <v>10</v>
      </c>
      <c r="Q930" t="b">
        <v>0</v>
      </c>
      <c r="R930" t="b">
        <v>0</v>
      </c>
      <c r="S930" t="s">
        <v>28</v>
      </c>
      <c r="T930" t="str">
        <f>_xlfn.TEXTBEFORE(Table2[[#This Row],[category &amp; sub-category]],"/")</f>
        <v>technology</v>
      </c>
      <c r="U930" t="str">
        <f>_xlfn.TEXTAFTER(Table2[[#This Row],[category &amp; sub-category]],"/")</f>
        <v>web</v>
      </c>
    </row>
    <row r="931" spans="1:21" ht="17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5">
        <f>100*Table2[[#This Row],[pledged]]/Table2[[#This Row],[goal]]</f>
        <v>217.30909090909091</v>
      </c>
      <c r="G931" t="s">
        <v>20</v>
      </c>
      <c r="H931">
        <v>184</v>
      </c>
      <c r="I931" s="4">
        <f>IF(Table2[[#This Row],[pledged]]&gt;0,Table2[[#This Row],[pledged]]/Table2[[#This Row],[backers_count]],0)</f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8">
        <f t="shared" si="28"/>
        <v>42858.208333333328</v>
      </c>
      <c r="O931" s="8">
        <f t="shared" si="29"/>
        <v>42872.208333333328</v>
      </c>
      <c r="P931" s="5">
        <f>_xlfn.DAYS(Table2[[#This Row],[Date Ended Conversion]],Table2[[#This Row],[Date Created Conversion]])+1</f>
        <v>15</v>
      </c>
      <c r="Q931" t="b">
        <v>0</v>
      </c>
      <c r="R931" t="b">
        <v>0</v>
      </c>
      <c r="S931" t="s">
        <v>33</v>
      </c>
      <c r="T931" t="str">
        <f>_xlfn.TEXTBEFORE(Table2[[#This Row],[category &amp; sub-category]],"/")</f>
        <v>theater</v>
      </c>
      <c r="U931" t="str">
        <f>_xlfn.TEXTAFTER(Table2[[#This Row],[category &amp; sub-category]],"/")</f>
        <v>plays</v>
      </c>
    </row>
    <row r="932" spans="1:21" ht="17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5">
        <f>100*Table2[[#This Row],[pledged]]/Table2[[#This Row],[goal]]</f>
        <v>112.28571428571429</v>
      </c>
      <c r="G932" t="s">
        <v>20</v>
      </c>
      <c r="H932">
        <v>85</v>
      </c>
      <c r="I932" s="4">
        <f>IF(Table2[[#This Row],[pledged]]&gt;0,Table2[[#This Row],[pledged]]/Table2[[#This Row],[backers_count]],0)</f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8">
        <f t="shared" si="28"/>
        <v>42060.25</v>
      </c>
      <c r="O932" s="8">
        <f t="shared" si="29"/>
        <v>42067.25</v>
      </c>
      <c r="P932" s="5">
        <f>_xlfn.DAYS(Table2[[#This Row],[Date Ended Conversion]],Table2[[#This Row],[Date Created Conversion]])+1</f>
        <v>8</v>
      </c>
      <c r="Q932" t="b">
        <v>0</v>
      </c>
      <c r="R932" t="b">
        <v>1</v>
      </c>
      <c r="S932" t="s">
        <v>33</v>
      </c>
      <c r="T932" t="str">
        <f>_xlfn.TEXTBEFORE(Table2[[#This Row],[category &amp; sub-category]],"/")</f>
        <v>theater</v>
      </c>
      <c r="U932" t="str">
        <f>_xlfn.TEXTAFTER(Table2[[#This Row],[category &amp; sub-category]],"/")</f>
        <v>plays</v>
      </c>
    </row>
    <row r="933" spans="1:21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5">
        <f>100*Table2[[#This Row],[pledged]]/Table2[[#This Row],[goal]]</f>
        <v>72.518987341772146</v>
      </c>
      <c r="G933" t="s">
        <v>14</v>
      </c>
      <c r="H933">
        <v>112</v>
      </c>
      <c r="I933" s="4">
        <f>IF(Table2[[#This Row],[pledged]]&gt;0,Table2[[#This Row],[pledged]]/Table2[[#This Row],[backers_count]],0)</f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8">
        <f t="shared" si="28"/>
        <v>41818.208333333336</v>
      </c>
      <c r="O933" s="8">
        <f t="shared" si="29"/>
        <v>41820.208333333336</v>
      </c>
      <c r="P933" s="5">
        <f>_xlfn.DAYS(Table2[[#This Row],[Date Ended Conversion]],Table2[[#This Row],[Date Created Conversion]])+1</f>
        <v>3</v>
      </c>
      <c r="Q933" t="b">
        <v>0</v>
      </c>
      <c r="R933" t="b">
        <v>1</v>
      </c>
      <c r="S933" t="s">
        <v>33</v>
      </c>
      <c r="T933" t="str">
        <f>_xlfn.TEXTBEFORE(Table2[[#This Row],[category &amp; sub-category]],"/")</f>
        <v>theater</v>
      </c>
      <c r="U933" t="str">
        <f>_xlfn.TEXTAFTER(Table2[[#This Row],[category &amp; sub-category]],"/")</f>
        <v>plays</v>
      </c>
    </row>
    <row r="934" spans="1:21" ht="17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5">
        <f>100*Table2[[#This Row],[pledged]]/Table2[[#This Row],[goal]]</f>
        <v>212.30434782608697</v>
      </c>
      <c r="G934" t="s">
        <v>20</v>
      </c>
      <c r="H934">
        <v>144</v>
      </c>
      <c r="I934" s="4">
        <f>IF(Table2[[#This Row],[pledged]]&gt;0,Table2[[#This Row],[pledged]]/Table2[[#This Row],[backers_count]],0)</f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8">
        <f t="shared" si="28"/>
        <v>41709.208333333336</v>
      </c>
      <c r="O934" s="8">
        <f t="shared" si="29"/>
        <v>41712.208333333336</v>
      </c>
      <c r="P934" s="5">
        <f>_xlfn.DAYS(Table2[[#This Row],[Date Ended Conversion]],Table2[[#This Row],[Date Created Conversion]])+1</f>
        <v>4</v>
      </c>
      <c r="Q934" t="b">
        <v>0</v>
      </c>
      <c r="R934" t="b">
        <v>0</v>
      </c>
      <c r="S934" t="s">
        <v>23</v>
      </c>
      <c r="T934" t="str">
        <f>_xlfn.TEXTBEFORE(Table2[[#This Row],[category &amp; sub-category]],"/")</f>
        <v>music</v>
      </c>
      <c r="U934" t="str">
        <f>_xlfn.TEXTAFTER(Table2[[#This Row],[category &amp; sub-category]],"/")</f>
        <v>rock</v>
      </c>
    </row>
    <row r="935" spans="1:21" ht="17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5">
        <f>100*Table2[[#This Row],[pledged]]/Table2[[#This Row],[goal]]</f>
        <v>239.74657534246575</v>
      </c>
      <c r="G935" t="s">
        <v>20</v>
      </c>
      <c r="H935">
        <v>1902</v>
      </c>
      <c r="I935" s="4">
        <f>IF(Table2[[#This Row],[pledged]]&gt;0,Table2[[#This Row],[pledged]]/Table2[[#This Row],[backers_count]],0)</f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8">
        <f t="shared" si="28"/>
        <v>41372.208333333336</v>
      </c>
      <c r="O935" s="8">
        <f t="shared" si="29"/>
        <v>41385.208333333336</v>
      </c>
      <c r="P935" s="5">
        <f>_xlfn.DAYS(Table2[[#This Row],[Date Ended Conversion]],Table2[[#This Row],[Date Created Conversion]])+1</f>
        <v>14</v>
      </c>
      <c r="Q935" t="b">
        <v>0</v>
      </c>
      <c r="R935" t="b">
        <v>0</v>
      </c>
      <c r="S935" t="s">
        <v>33</v>
      </c>
      <c r="T935" t="str">
        <f>_xlfn.TEXTBEFORE(Table2[[#This Row],[category &amp; sub-category]],"/")</f>
        <v>theater</v>
      </c>
      <c r="U935" t="str">
        <f>_xlfn.TEXTAFTER(Table2[[#This Row],[category &amp; sub-category]],"/")</f>
        <v>plays</v>
      </c>
    </row>
    <row r="936" spans="1:21" ht="17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5">
        <f>100*Table2[[#This Row],[pledged]]/Table2[[#This Row],[goal]]</f>
        <v>181.93548387096774</v>
      </c>
      <c r="G936" t="s">
        <v>20</v>
      </c>
      <c r="H936">
        <v>105</v>
      </c>
      <c r="I936" s="4">
        <f>IF(Table2[[#This Row],[pledged]]&gt;0,Table2[[#This Row],[pledged]]/Table2[[#This Row],[backers_count]],0)</f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8">
        <f t="shared" si="28"/>
        <v>42422.25</v>
      </c>
      <c r="O936" s="8">
        <f t="shared" si="29"/>
        <v>42428.25</v>
      </c>
      <c r="P936" s="5">
        <f>_xlfn.DAYS(Table2[[#This Row],[Date Ended Conversion]],Table2[[#This Row],[Date Created Conversion]])+1</f>
        <v>7</v>
      </c>
      <c r="Q936" t="b">
        <v>0</v>
      </c>
      <c r="R936" t="b">
        <v>0</v>
      </c>
      <c r="S936" t="s">
        <v>33</v>
      </c>
      <c r="T936" t="str">
        <f>_xlfn.TEXTBEFORE(Table2[[#This Row],[category &amp; sub-category]],"/")</f>
        <v>theater</v>
      </c>
      <c r="U936" t="str">
        <f>_xlfn.TEXTAFTER(Table2[[#This Row],[category &amp; sub-category]],"/")</f>
        <v>plays</v>
      </c>
    </row>
    <row r="937" spans="1:21" ht="34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5">
        <f>100*Table2[[#This Row],[pledged]]/Table2[[#This Row],[goal]]</f>
        <v>164.13114754098362</v>
      </c>
      <c r="G937" t="s">
        <v>20</v>
      </c>
      <c r="H937">
        <v>132</v>
      </c>
      <c r="I937" s="4">
        <f>IF(Table2[[#This Row],[pledged]]&gt;0,Table2[[#This Row],[pledged]]/Table2[[#This Row],[backers_count]],0)</f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8">
        <f t="shared" si="28"/>
        <v>42209.208333333328</v>
      </c>
      <c r="O937" s="8">
        <f t="shared" si="29"/>
        <v>42216.208333333328</v>
      </c>
      <c r="P937" s="5">
        <f>_xlfn.DAYS(Table2[[#This Row],[Date Ended Conversion]],Table2[[#This Row],[Date Created Conversion]])+1</f>
        <v>8</v>
      </c>
      <c r="Q937" t="b">
        <v>0</v>
      </c>
      <c r="R937" t="b">
        <v>0</v>
      </c>
      <c r="S937" t="s">
        <v>33</v>
      </c>
      <c r="T937" t="str">
        <f>_xlfn.TEXTBEFORE(Table2[[#This Row],[category &amp; sub-category]],"/")</f>
        <v>theater</v>
      </c>
      <c r="U937" t="str">
        <f>_xlfn.TEXTAFTER(Table2[[#This Row],[category &amp; sub-category]],"/")</f>
        <v>plays</v>
      </c>
    </row>
    <row r="938" spans="1:21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5">
        <f>100*Table2[[#This Row],[pledged]]/Table2[[#This Row],[goal]]</f>
        <v>1.6375968992248062</v>
      </c>
      <c r="G938" t="s">
        <v>14</v>
      </c>
      <c r="H938">
        <v>21</v>
      </c>
      <c r="I938" s="4">
        <f>IF(Table2[[#This Row],[pledged]]&gt;0,Table2[[#This Row],[pledged]]/Table2[[#This Row],[backers_count]],0)</f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8">
        <f t="shared" si="28"/>
        <v>43668.208333333328</v>
      </c>
      <c r="O938" s="8">
        <f t="shared" si="29"/>
        <v>43671.208333333328</v>
      </c>
      <c r="P938" s="5">
        <f>_xlfn.DAYS(Table2[[#This Row],[Date Ended Conversion]],Table2[[#This Row],[Date Created Conversion]])+1</f>
        <v>4</v>
      </c>
      <c r="Q938" t="b">
        <v>1</v>
      </c>
      <c r="R938" t="b">
        <v>0</v>
      </c>
      <c r="S938" t="s">
        <v>33</v>
      </c>
      <c r="T938" t="str">
        <f>_xlfn.TEXTBEFORE(Table2[[#This Row],[category &amp; sub-category]],"/")</f>
        <v>theater</v>
      </c>
      <c r="U938" t="str">
        <f>_xlfn.TEXTAFTER(Table2[[#This Row],[category &amp; sub-category]],"/")</f>
        <v>plays</v>
      </c>
    </row>
    <row r="939" spans="1:21" ht="17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5">
        <f>100*Table2[[#This Row],[pledged]]/Table2[[#This Row],[goal]]</f>
        <v>49.64385964912281</v>
      </c>
      <c r="G939" t="s">
        <v>74</v>
      </c>
      <c r="H939">
        <v>976</v>
      </c>
      <c r="I939" s="4">
        <f>IF(Table2[[#This Row],[pledged]]&gt;0,Table2[[#This Row],[pledged]]/Table2[[#This Row],[backers_count]],0)</f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8">
        <f t="shared" si="28"/>
        <v>42334.25</v>
      </c>
      <c r="O939" s="8">
        <f t="shared" si="29"/>
        <v>42343.25</v>
      </c>
      <c r="P939" s="5">
        <f>_xlfn.DAYS(Table2[[#This Row],[Date Ended Conversion]],Table2[[#This Row],[Date Created Conversion]])+1</f>
        <v>10</v>
      </c>
      <c r="Q939" t="b">
        <v>0</v>
      </c>
      <c r="R939" t="b">
        <v>0</v>
      </c>
      <c r="S939" t="s">
        <v>42</v>
      </c>
      <c r="T939" t="str">
        <f>_xlfn.TEXTBEFORE(Table2[[#This Row],[category &amp; sub-category]],"/")</f>
        <v>film &amp; video</v>
      </c>
      <c r="U939" t="str">
        <f>_xlfn.TEXTAFTER(Table2[[#This Row],[category &amp; sub-category]],"/")</f>
        <v>documentary</v>
      </c>
    </row>
    <row r="940" spans="1:21" ht="17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5">
        <f>100*Table2[[#This Row],[pledged]]/Table2[[#This Row],[goal]]</f>
        <v>109.70652173913044</v>
      </c>
      <c r="G940" t="s">
        <v>20</v>
      </c>
      <c r="H940">
        <v>96</v>
      </c>
      <c r="I940" s="4">
        <f>IF(Table2[[#This Row],[pledged]]&gt;0,Table2[[#This Row],[pledged]]/Table2[[#This Row],[backers_count]],0)</f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8">
        <f t="shared" si="28"/>
        <v>43263.208333333328</v>
      </c>
      <c r="O940" s="8">
        <f t="shared" si="29"/>
        <v>43299.208333333328</v>
      </c>
      <c r="P940" s="5">
        <f>_xlfn.DAYS(Table2[[#This Row],[Date Ended Conversion]],Table2[[#This Row],[Date Created Conversion]])+1</f>
        <v>37</v>
      </c>
      <c r="Q940" t="b">
        <v>0</v>
      </c>
      <c r="R940" t="b">
        <v>1</v>
      </c>
      <c r="S940" t="s">
        <v>119</v>
      </c>
      <c r="T940" t="str">
        <f>_xlfn.TEXTBEFORE(Table2[[#This Row],[category &amp; sub-category]],"/")</f>
        <v>publishing</v>
      </c>
      <c r="U940" t="str">
        <f>_xlfn.TEXTAFTER(Table2[[#This Row],[category &amp; sub-category]],"/")</f>
        <v>fiction</v>
      </c>
    </row>
    <row r="941" spans="1:21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5">
        <f>100*Table2[[#This Row],[pledged]]/Table2[[#This Row],[goal]]</f>
        <v>49.217948717948715</v>
      </c>
      <c r="G941" t="s">
        <v>14</v>
      </c>
      <c r="H941">
        <v>67</v>
      </c>
      <c r="I941" s="4">
        <f>IF(Table2[[#This Row],[pledged]]&gt;0,Table2[[#This Row],[pledged]]/Table2[[#This Row],[backers_count]],0)</f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8">
        <f t="shared" si="28"/>
        <v>40670.208333333336</v>
      </c>
      <c r="O941" s="8">
        <f t="shared" si="29"/>
        <v>40687.208333333336</v>
      </c>
      <c r="P941" s="5">
        <f>_xlfn.DAYS(Table2[[#This Row],[Date Ended Conversion]],Table2[[#This Row],[Date Created Conversion]])+1</f>
        <v>18</v>
      </c>
      <c r="Q941" t="b">
        <v>0</v>
      </c>
      <c r="R941" t="b">
        <v>1</v>
      </c>
      <c r="S941" t="s">
        <v>89</v>
      </c>
      <c r="T941" t="str">
        <f>_xlfn.TEXTBEFORE(Table2[[#This Row],[category &amp; sub-category]],"/")</f>
        <v>games</v>
      </c>
      <c r="U941" t="str">
        <f>_xlfn.TEXTAFTER(Table2[[#This Row],[category &amp; sub-category]],"/")</f>
        <v>video games</v>
      </c>
    </row>
    <row r="942" spans="1:21" ht="17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5">
        <f>100*Table2[[#This Row],[pledged]]/Table2[[#This Row],[goal]]</f>
        <v>62.232323232323232</v>
      </c>
      <c r="G942" t="s">
        <v>47</v>
      </c>
      <c r="H942">
        <v>66</v>
      </c>
      <c r="I942" s="4">
        <f>IF(Table2[[#This Row],[pledged]]&gt;0,Table2[[#This Row],[pledged]]/Table2[[#This Row],[backers_count]],0)</f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8">
        <f t="shared" si="28"/>
        <v>41244.25</v>
      </c>
      <c r="O942" s="8">
        <f t="shared" si="29"/>
        <v>41266.25</v>
      </c>
      <c r="P942" s="5">
        <f>_xlfn.DAYS(Table2[[#This Row],[Date Ended Conversion]],Table2[[#This Row],[Date Created Conversion]])+1</f>
        <v>23</v>
      </c>
      <c r="Q942" t="b">
        <v>0</v>
      </c>
      <c r="R942" t="b">
        <v>0</v>
      </c>
      <c r="S942" t="s">
        <v>28</v>
      </c>
      <c r="T942" t="str">
        <f>_xlfn.TEXTBEFORE(Table2[[#This Row],[category &amp; sub-category]],"/")</f>
        <v>technology</v>
      </c>
      <c r="U942" t="str">
        <f>_xlfn.TEXTAFTER(Table2[[#This Row],[category &amp; sub-category]],"/")</f>
        <v>web</v>
      </c>
    </row>
    <row r="943" spans="1:21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5">
        <f>100*Table2[[#This Row],[pledged]]/Table2[[#This Row],[goal]]</f>
        <v>13.05813953488372</v>
      </c>
      <c r="G943" t="s">
        <v>14</v>
      </c>
      <c r="H943">
        <v>78</v>
      </c>
      <c r="I943" s="4">
        <f>IF(Table2[[#This Row],[pledged]]&gt;0,Table2[[#This Row],[pledged]]/Table2[[#This Row],[backers_count]],0)</f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8">
        <f t="shared" si="28"/>
        <v>40552.25</v>
      </c>
      <c r="O943" s="8">
        <f t="shared" si="29"/>
        <v>40587.25</v>
      </c>
      <c r="P943" s="5">
        <f>_xlfn.DAYS(Table2[[#This Row],[Date Ended Conversion]],Table2[[#This Row],[Date Created Conversion]])+1</f>
        <v>36</v>
      </c>
      <c r="Q943" t="b">
        <v>1</v>
      </c>
      <c r="R943" t="b">
        <v>0</v>
      </c>
      <c r="S943" t="s">
        <v>33</v>
      </c>
      <c r="T943" t="str">
        <f>_xlfn.TEXTBEFORE(Table2[[#This Row],[category &amp; sub-category]],"/")</f>
        <v>theater</v>
      </c>
      <c r="U943" t="str">
        <f>_xlfn.TEXTAFTER(Table2[[#This Row],[category &amp; sub-category]],"/")</f>
        <v>plays</v>
      </c>
    </row>
    <row r="944" spans="1:21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5">
        <f>100*Table2[[#This Row],[pledged]]/Table2[[#This Row],[goal]]</f>
        <v>64.635416666666671</v>
      </c>
      <c r="G944" t="s">
        <v>14</v>
      </c>
      <c r="H944">
        <v>67</v>
      </c>
      <c r="I944" s="4">
        <f>IF(Table2[[#This Row],[pledged]]&gt;0,Table2[[#This Row],[pledged]]/Table2[[#This Row],[backers_count]],0)</f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8">
        <f t="shared" si="28"/>
        <v>40568.25</v>
      </c>
      <c r="O944" s="8">
        <f t="shared" si="29"/>
        <v>40571.25</v>
      </c>
      <c r="P944" s="5">
        <f>_xlfn.DAYS(Table2[[#This Row],[Date Ended Conversion]],Table2[[#This Row],[Date Created Conversion]])+1</f>
        <v>4</v>
      </c>
      <c r="Q944" t="b">
        <v>0</v>
      </c>
      <c r="R944" t="b">
        <v>0</v>
      </c>
      <c r="S944" t="s">
        <v>33</v>
      </c>
      <c r="T944" t="str">
        <f>_xlfn.TEXTBEFORE(Table2[[#This Row],[category &amp; sub-category]],"/")</f>
        <v>theater</v>
      </c>
      <c r="U944" t="str">
        <f>_xlfn.TEXTAFTER(Table2[[#This Row],[category &amp; sub-category]],"/")</f>
        <v>plays</v>
      </c>
    </row>
    <row r="945" spans="1:21" ht="17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5">
        <f>100*Table2[[#This Row],[pledged]]/Table2[[#This Row],[goal]]</f>
        <v>159.58666666666667</v>
      </c>
      <c r="G945" t="s">
        <v>20</v>
      </c>
      <c r="H945">
        <v>114</v>
      </c>
      <c r="I945" s="4">
        <f>IF(Table2[[#This Row],[pledged]]&gt;0,Table2[[#This Row],[pledged]]/Table2[[#This Row],[backers_count]],0)</f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8">
        <f t="shared" si="28"/>
        <v>41906.208333333336</v>
      </c>
      <c r="O945" s="8">
        <f t="shared" si="29"/>
        <v>41941.208333333336</v>
      </c>
      <c r="P945" s="5">
        <f>_xlfn.DAYS(Table2[[#This Row],[Date Ended Conversion]],Table2[[#This Row],[Date Created Conversion]])+1</f>
        <v>36</v>
      </c>
      <c r="Q945" t="b">
        <v>0</v>
      </c>
      <c r="R945" t="b">
        <v>0</v>
      </c>
      <c r="S945" t="s">
        <v>17</v>
      </c>
      <c r="T945" t="str">
        <f>_xlfn.TEXTBEFORE(Table2[[#This Row],[category &amp; sub-category]],"/")</f>
        <v>food</v>
      </c>
      <c r="U945" t="str">
        <f>_xlfn.TEXTAFTER(Table2[[#This Row],[category &amp; sub-category]],"/")</f>
        <v>food trucks</v>
      </c>
    </row>
    <row r="946" spans="1:21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5">
        <f>100*Table2[[#This Row],[pledged]]/Table2[[#This Row],[goal]]</f>
        <v>81.42</v>
      </c>
      <c r="G946" t="s">
        <v>14</v>
      </c>
      <c r="H946">
        <v>263</v>
      </c>
      <c r="I946" s="4">
        <f>IF(Table2[[#This Row],[pledged]]&gt;0,Table2[[#This Row],[pledged]]/Table2[[#This Row],[backers_count]],0)</f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8">
        <f t="shared" si="28"/>
        <v>42776.25</v>
      </c>
      <c r="O946" s="8">
        <f t="shared" si="29"/>
        <v>42795.25</v>
      </c>
      <c r="P946" s="5">
        <f>_xlfn.DAYS(Table2[[#This Row],[Date Ended Conversion]],Table2[[#This Row],[Date Created Conversion]])+1</f>
        <v>20</v>
      </c>
      <c r="Q946" t="b">
        <v>0</v>
      </c>
      <c r="R946" t="b">
        <v>0</v>
      </c>
      <c r="S946" t="s">
        <v>122</v>
      </c>
      <c r="T946" t="str">
        <f>_xlfn.TEXTBEFORE(Table2[[#This Row],[category &amp; sub-category]],"/")</f>
        <v>photography</v>
      </c>
      <c r="U946" t="str">
        <f>_xlfn.TEXTAFTER(Table2[[#This Row],[category &amp; sub-category]],"/")</f>
        <v>photography books</v>
      </c>
    </row>
    <row r="947" spans="1:21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5">
        <f>100*Table2[[#This Row],[pledged]]/Table2[[#This Row],[goal]]</f>
        <v>32.444767441860463</v>
      </c>
      <c r="G947" t="s">
        <v>14</v>
      </c>
      <c r="H947">
        <v>1691</v>
      </c>
      <c r="I947" s="4">
        <f>IF(Table2[[#This Row],[pledged]]&gt;0,Table2[[#This Row],[pledged]]/Table2[[#This Row],[backers_count]],0)</f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8">
        <f t="shared" si="28"/>
        <v>41004.208333333336</v>
      </c>
      <c r="O947" s="8">
        <f t="shared" si="29"/>
        <v>41019.208333333336</v>
      </c>
      <c r="P947" s="5">
        <f>_xlfn.DAYS(Table2[[#This Row],[Date Ended Conversion]],Table2[[#This Row],[Date Created Conversion]])+1</f>
        <v>16</v>
      </c>
      <c r="Q947" t="b">
        <v>1</v>
      </c>
      <c r="R947" t="b">
        <v>0</v>
      </c>
      <c r="S947" t="s">
        <v>122</v>
      </c>
      <c r="T947" t="str">
        <f>_xlfn.TEXTBEFORE(Table2[[#This Row],[category &amp; sub-category]],"/")</f>
        <v>photography</v>
      </c>
      <c r="U947" t="str">
        <f>_xlfn.TEXTAFTER(Table2[[#This Row],[category &amp; sub-category]],"/")</f>
        <v>photography books</v>
      </c>
    </row>
    <row r="948" spans="1:21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5">
        <f>100*Table2[[#This Row],[pledged]]/Table2[[#This Row],[goal]]</f>
        <v>9.9141184124918666</v>
      </c>
      <c r="G948" t="s">
        <v>14</v>
      </c>
      <c r="H948">
        <v>181</v>
      </c>
      <c r="I948" s="4">
        <f>IF(Table2[[#This Row],[pledged]]&gt;0,Table2[[#This Row],[pledged]]/Table2[[#This Row],[backers_count]],0)</f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8">
        <f t="shared" si="28"/>
        <v>40710.208333333336</v>
      </c>
      <c r="O948" s="8">
        <f t="shared" si="29"/>
        <v>40712.208333333336</v>
      </c>
      <c r="P948" s="5">
        <f>_xlfn.DAYS(Table2[[#This Row],[Date Ended Conversion]],Table2[[#This Row],[Date Created Conversion]])+1</f>
        <v>3</v>
      </c>
      <c r="Q948" t="b">
        <v>0</v>
      </c>
      <c r="R948" t="b">
        <v>0</v>
      </c>
      <c r="S948" t="s">
        <v>33</v>
      </c>
      <c r="T948" t="str">
        <f>_xlfn.TEXTBEFORE(Table2[[#This Row],[category &amp; sub-category]],"/")</f>
        <v>theater</v>
      </c>
      <c r="U948" t="str">
        <f>_xlfn.TEXTAFTER(Table2[[#This Row],[category &amp; sub-category]],"/")</f>
        <v>plays</v>
      </c>
    </row>
    <row r="949" spans="1:21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5">
        <f>100*Table2[[#This Row],[pledged]]/Table2[[#This Row],[goal]]</f>
        <v>26.694444444444443</v>
      </c>
      <c r="G949" t="s">
        <v>14</v>
      </c>
      <c r="H949">
        <v>13</v>
      </c>
      <c r="I949" s="4">
        <f>IF(Table2[[#This Row],[pledged]]&gt;0,Table2[[#This Row],[pledged]]/Table2[[#This Row],[backers_count]],0)</f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8">
        <f t="shared" si="28"/>
        <v>41908.208333333336</v>
      </c>
      <c r="O949" s="8">
        <f t="shared" si="29"/>
        <v>41915.208333333336</v>
      </c>
      <c r="P949" s="5">
        <f>_xlfn.DAYS(Table2[[#This Row],[Date Ended Conversion]],Table2[[#This Row],[Date Created Conversion]])+1</f>
        <v>8</v>
      </c>
      <c r="Q949" t="b">
        <v>0</v>
      </c>
      <c r="R949" t="b">
        <v>0</v>
      </c>
      <c r="S949" t="s">
        <v>33</v>
      </c>
      <c r="T949" t="str">
        <f>_xlfn.TEXTBEFORE(Table2[[#This Row],[category &amp; sub-category]],"/")</f>
        <v>theater</v>
      </c>
      <c r="U949" t="str">
        <f>_xlfn.TEXTAFTER(Table2[[#This Row],[category &amp; sub-category]],"/")</f>
        <v>plays</v>
      </c>
    </row>
    <row r="950" spans="1:21" ht="17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5">
        <f>100*Table2[[#This Row],[pledged]]/Table2[[#This Row],[goal]]</f>
        <v>62.957446808510639</v>
      </c>
      <c r="G950" t="s">
        <v>74</v>
      </c>
      <c r="H950">
        <v>160</v>
      </c>
      <c r="I950" s="4">
        <f>IF(Table2[[#This Row],[pledged]]&gt;0,Table2[[#This Row],[pledged]]/Table2[[#This Row],[backers_count]],0)</f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8">
        <f t="shared" si="28"/>
        <v>41985.25</v>
      </c>
      <c r="O950" s="8">
        <f t="shared" si="29"/>
        <v>41995.25</v>
      </c>
      <c r="P950" s="5">
        <f>_xlfn.DAYS(Table2[[#This Row],[Date Ended Conversion]],Table2[[#This Row],[Date Created Conversion]])+1</f>
        <v>11</v>
      </c>
      <c r="Q950" t="b">
        <v>1</v>
      </c>
      <c r="R950" t="b">
        <v>1</v>
      </c>
      <c r="S950" t="s">
        <v>42</v>
      </c>
      <c r="T950" t="str">
        <f>_xlfn.TEXTBEFORE(Table2[[#This Row],[category &amp; sub-category]],"/")</f>
        <v>film &amp; video</v>
      </c>
      <c r="U950" t="str">
        <f>_xlfn.TEXTAFTER(Table2[[#This Row],[category &amp; sub-category]],"/")</f>
        <v>documentary</v>
      </c>
    </row>
    <row r="951" spans="1:21" ht="34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5">
        <f>100*Table2[[#This Row],[pledged]]/Table2[[#This Row],[goal]]</f>
        <v>161.35593220338984</v>
      </c>
      <c r="G951" t="s">
        <v>20</v>
      </c>
      <c r="H951">
        <v>203</v>
      </c>
      <c r="I951" s="4">
        <f>IF(Table2[[#This Row],[pledged]]&gt;0,Table2[[#This Row],[pledged]]/Table2[[#This Row],[backers_count]],0)</f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8">
        <f t="shared" si="28"/>
        <v>42112.208333333328</v>
      </c>
      <c r="O951" s="8">
        <f t="shared" si="29"/>
        <v>42131.208333333328</v>
      </c>
      <c r="P951" s="5">
        <f>_xlfn.DAYS(Table2[[#This Row],[Date Ended Conversion]],Table2[[#This Row],[Date Created Conversion]])+1</f>
        <v>20</v>
      </c>
      <c r="Q951" t="b">
        <v>0</v>
      </c>
      <c r="R951" t="b">
        <v>0</v>
      </c>
      <c r="S951" t="s">
        <v>28</v>
      </c>
      <c r="T951" t="str">
        <f>_xlfn.TEXTBEFORE(Table2[[#This Row],[category &amp; sub-category]],"/")</f>
        <v>technology</v>
      </c>
      <c r="U951" t="str">
        <f>_xlfn.TEXTAFTER(Table2[[#This Row],[category &amp; sub-category]],"/")</f>
        <v>web</v>
      </c>
    </row>
    <row r="952" spans="1:21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5">
        <f>100*Table2[[#This Row],[pledged]]/Table2[[#This Row],[goal]]</f>
        <v>5</v>
      </c>
      <c r="G952" t="s">
        <v>14</v>
      </c>
      <c r="H952">
        <v>1</v>
      </c>
      <c r="I952" s="4">
        <f>IF(Table2[[#This Row],[pledged]]&gt;0,Table2[[#This Row],[pledged]]/Table2[[#This Row],[backers_count]],0)</f>
        <v>5</v>
      </c>
      <c r="J952" t="s">
        <v>21</v>
      </c>
      <c r="K952" t="s">
        <v>22</v>
      </c>
      <c r="L952">
        <v>1555390800</v>
      </c>
      <c r="M952">
        <v>1555822800</v>
      </c>
      <c r="N952" s="8">
        <f t="shared" si="28"/>
        <v>43571.208333333328</v>
      </c>
      <c r="O952" s="8">
        <f t="shared" si="29"/>
        <v>43576.208333333328</v>
      </c>
      <c r="P952" s="5">
        <f>_xlfn.DAYS(Table2[[#This Row],[Date Ended Conversion]],Table2[[#This Row],[Date Created Conversion]])+1</f>
        <v>6</v>
      </c>
      <c r="Q952" t="b">
        <v>0</v>
      </c>
      <c r="R952" t="b">
        <v>1</v>
      </c>
      <c r="S952" t="s">
        <v>33</v>
      </c>
      <c r="T952" t="str">
        <f>_xlfn.TEXTBEFORE(Table2[[#This Row],[category &amp; sub-category]],"/")</f>
        <v>theater</v>
      </c>
      <c r="U952" t="str">
        <f>_xlfn.TEXTAFTER(Table2[[#This Row],[category &amp; sub-category]],"/")</f>
        <v>plays</v>
      </c>
    </row>
    <row r="953" spans="1:21" ht="17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5">
        <f>100*Table2[[#This Row],[pledged]]/Table2[[#This Row],[goal]]</f>
        <v>1096.9379310344827</v>
      </c>
      <c r="G953" t="s">
        <v>20</v>
      </c>
      <c r="H953">
        <v>1559</v>
      </c>
      <c r="I953" s="4">
        <f>IF(Table2[[#This Row],[pledged]]&gt;0,Table2[[#This Row],[pledged]]/Table2[[#This Row],[backers_count]],0)</f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8">
        <f t="shared" si="28"/>
        <v>42730.25</v>
      </c>
      <c r="O953" s="8">
        <f t="shared" si="29"/>
        <v>42731.25</v>
      </c>
      <c r="P953" s="5">
        <f>_xlfn.DAYS(Table2[[#This Row],[Date Ended Conversion]],Table2[[#This Row],[Date Created Conversion]])+1</f>
        <v>2</v>
      </c>
      <c r="Q953" t="b">
        <v>0</v>
      </c>
      <c r="R953" t="b">
        <v>1</v>
      </c>
      <c r="S953" t="s">
        <v>23</v>
      </c>
      <c r="T953" t="str">
        <f>_xlfn.TEXTBEFORE(Table2[[#This Row],[category &amp; sub-category]],"/")</f>
        <v>music</v>
      </c>
      <c r="U953" t="str">
        <f>_xlfn.TEXTAFTER(Table2[[#This Row],[category &amp; sub-category]],"/")</f>
        <v>rock</v>
      </c>
    </row>
    <row r="954" spans="1:21" ht="17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5">
        <f>100*Table2[[#This Row],[pledged]]/Table2[[#This Row],[goal]]</f>
        <v>70.094158075601371</v>
      </c>
      <c r="G954" t="s">
        <v>74</v>
      </c>
      <c r="H954">
        <v>2266</v>
      </c>
      <c r="I954" s="4">
        <f>IF(Table2[[#This Row],[pledged]]&gt;0,Table2[[#This Row],[pledged]]/Table2[[#This Row],[backers_count]],0)</f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8">
        <f t="shared" si="28"/>
        <v>42591.208333333328</v>
      </c>
      <c r="O954" s="8">
        <f t="shared" si="29"/>
        <v>42605.208333333328</v>
      </c>
      <c r="P954" s="5">
        <f>_xlfn.DAYS(Table2[[#This Row],[Date Ended Conversion]],Table2[[#This Row],[Date Created Conversion]])+1</f>
        <v>15</v>
      </c>
      <c r="Q954" t="b">
        <v>0</v>
      </c>
      <c r="R954" t="b">
        <v>0</v>
      </c>
      <c r="S954" t="s">
        <v>42</v>
      </c>
      <c r="T954" t="str">
        <f>_xlfn.TEXTBEFORE(Table2[[#This Row],[category &amp; sub-category]],"/")</f>
        <v>film &amp; video</v>
      </c>
      <c r="U954" t="str">
        <f>_xlfn.TEXTAFTER(Table2[[#This Row],[category &amp; sub-category]],"/")</f>
        <v>documentary</v>
      </c>
    </row>
    <row r="955" spans="1:21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5">
        <f>100*Table2[[#This Row],[pledged]]/Table2[[#This Row],[goal]]</f>
        <v>60</v>
      </c>
      <c r="G955" t="s">
        <v>14</v>
      </c>
      <c r="H955">
        <v>21</v>
      </c>
      <c r="I955" s="4">
        <f>IF(Table2[[#This Row],[pledged]]&gt;0,Table2[[#This Row],[pledged]]/Table2[[#This Row],[backers_count]],0)</f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8">
        <f t="shared" si="28"/>
        <v>42358.25</v>
      </c>
      <c r="O955" s="8">
        <f t="shared" si="29"/>
        <v>42394.25</v>
      </c>
      <c r="P955" s="5">
        <f>_xlfn.DAYS(Table2[[#This Row],[Date Ended Conversion]],Table2[[#This Row],[Date Created Conversion]])+1</f>
        <v>37</v>
      </c>
      <c r="Q955" t="b">
        <v>0</v>
      </c>
      <c r="R955" t="b">
        <v>1</v>
      </c>
      <c r="S955" t="s">
        <v>474</v>
      </c>
      <c r="T955" t="str">
        <f>_xlfn.TEXTBEFORE(Table2[[#This Row],[category &amp; sub-category]],"/")</f>
        <v>film &amp; video</v>
      </c>
      <c r="U955" t="str">
        <f>_xlfn.TEXTAFTER(Table2[[#This Row],[category &amp; sub-category]],"/")</f>
        <v>science fiction</v>
      </c>
    </row>
    <row r="956" spans="1:21" ht="17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5">
        <f>100*Table2[[#This Row],[pledged]]/Table2[[#This Row],[goal]]</f>
        <v>367.09859154929575</v>
      </c>
      <c r="G956" t="s">
        <v>20</v>
      </c>
      <c r="H956">
        <v>1548</v>
      </c>
      <c r="I956" s="4">
        <f>IF(Table2[[#This Row],[pledged]]&gt;0,Table2[[#This Row],[pledged]]/Table2[[#This Row],[backers_count]],0)</f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8">
        <f t="shared" si="28"/>
        <v>41174.208333333336</v>
      </c>
      <c r="O956" s="8">
        <f t="shared" si="29"/>
        <v>41198.208333333336</v>
      </c>
      <c r="P956" s="5">
        <f>_xlfn.DAYS(Table2[[#This Row],[Date Ended Conversion]],Table2[[#This Row],[Date Created Conversion]])+1</f>
        <v>25</v>
      </c>
      <c r="Q956" t="b">
        <v>0</v>
      </c>
      <c r="R956" t="b">
        <v>0</v>
      </c>
      <c r="S956" t="s">
        <v>28</v>
      </c>
      <c r="T956" t="str">
        <f>_xlfn.TEXTBEFORE(Table2[[#This Row],[category &amp; sub-category]],"/")</f>
        <v>technology</v>
      </c>
      <c r="U956" t="str">
        <f>_xlfn.TEXTAFTER(Table2[[#This Row],[category &amp; sub-category]],"/")</f>
        <v>web</v>
      </c>
    </row>
    <row r="957" spans="1:21" ht="34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5">
        <f>100*Table2[[#This Row],[pledged]]/Table2[[#This Row],[goal]]</f>
        <v>1109</v>
      </c>
      <c r="G957" t="s">
        <v>20</v>
      </c>
      <c r="H957">
        <v>80</v>
      </c>
      <c r="I957" s="4">
        <f>IF(Table2[[#This Row],[pledged]]&gt;0,Table2[[#This Row],[pledged]]/Table2[[#This Row],[backers_count]],0)</f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8">
        <f t="shared" si="28"/>
        <v>41238.25</v>
      </c>
      <c r="O957" s="8">
        <f t="shared" si="29"/>
        <v>41240.25</v>
      </c>
      <c r="P957" s="5">
        <f>_xlfn.DAYS(Table2[[#This Row],[Date Ended Conversion]],Table2[[#This Row],[Date Created Conversion]])+1</f>
        <v>3</v>
      </c>
      <c r="Q957" t="b">
        <v>0</v>
      </c>
      <c r="R957" t="b">
        <v>0</v>
      </c>
      <c r="S957" t="s">
        <v>33</v>
      </c>
      <c r="T957" t="str">
        <f>_xlfn.TEXTBEFORE(Table2[[#This Row],[category &amp; sub-category]],"/")</f>
        <v>theater</v>
      </c>
      <c r="U957" t="str">
        <f>_xlfn.TEXTAFTER(Table2[[#This Row],[category &amp; sub-category]],"/")</f>
        <v>plays</v>
      </c>
    </row>
    <row r="958" spans="1:21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5">
        <f>100*Table2[[#This Row],[pledged]]/Table2[[#This Row],[goal]]</f>
        <v>19.028784648187631</v>
      </c>
      <c r="G958" t="s">
        <v>14</v>
      </c>
      <c r="H958">
        <v>830</v>
      </c>
      <c r="I958" s="4">
        <f>IF(Table2[[#This Row],[pledged]]&gt;0,Table2[[#This Row],[pledged]]/Table2[[#This Row],[backers_count]],0)</f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8">
        <f t="shared" si="28"/>
        <v>42360.25</v>
      </c>
      <c r="O958" s="8">
        <f t="shared" si="29"/>
        <v>42364.25</v>
      </c>
      <c r="P958" s="5">
        <f>_xlfn.DAYS(Table2[[#This Row],[Date Ended Conversion]],Table2[[#This Row],[Date Created Conversion]])+1</f>
        <v>5</v>
      </c>
      <c r="Q958" t="b">
        <v>0</v>
      </c>
      <c r="R958" t="b">
        <v>0</v>
      </c>
      <c r="S958" t="s">
        <v>474</v>
      </c>
      <c r="T958" t="str">
        <f>_xlfn.TEXTBEFORE(Table2[[#This Row],[category &amp; sub-category]],"/")</f>
        <v>film &amp; video</v>
      </c>
      <c r="U958" t="str">
        <f>_xlfn.TEXTAFTER(Table2[[#This Row],[category &amp; sub-category]],"/")</f>
        <v>science fiction</v>
      </c>
    </row>
    <row r="959" spans="1:21" ht="17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5">
        <f>100*Table2[[#This Row],[pledged]]/Table2[[#This Row],[goal]]</f>
        <v>126.87755102040816</v>
      </c>
      <c r="G959" t="s">
        <v>20</v>
      </c>
      <c r="H959">
        <v>131</v>
      </c>
      <c r="I959" s="4">
        <f>IF(Table2[[#This Row],[pledged]]&gt;0,Table2[[#This Row],[pledged]]/Table2[[#This Row],[backers_count]],0)</f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8">
        <f t="shared" si="28"/>
        <v>40955.25</v>
      </c>
      <c r="O959" s="8">
        <f t="shared" si="29"/>
        <v>40958.25</v>
      </c>
      <c r="P959" s="5">
        <f>_xlfn.DAYS(Table2[[#This Row],[Date Ended Conversion]],Table2[[#This Row],[Date Created Conversion]])+1</f>
        <v>4</v>
      </c>
      <c r="Q959" t="b">
        <v>0</v>
      </c>
      <c r="R959" t="b">
        <v>0</v>
      </c>
      <c r="S959" t="s">
        <v>33</v>
      </c>
      <c r="T959" t="str">
        <f>_xlfn.TEXTBEFORE(Table2[[#This Row],[category &amp; sub-category]],"/")</f>
        <v>theater</v>
      </c>
      <c r="U959" t="str">
        <f>_xlfn.TEXTAFTER(Table2[[#This Row],[category &amp; sub-category]],"/")</f>
        <v>plays</v>
      </c>
    </row>
    <row r="960" spans="1:21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5">
        <f>100*Table2[[#This Row],[pledged]]/Table2[[#This Row],[goal]]</f>
        <v>734.63636363636363</v>
      </c>
      <c r="G960" t="s">
        <v>20</v>
      </c>
      <c r="H960">
        <v>112</v>
      </c>
      <c r="I960" s="4">
        <f>IF(Table2[[#This Row],[pledged]]&gt;0,Table2[[#This Row],[pledged]]/Table2[[#This Row],[backers_count]],0)</f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8">
        <f t="shared" si="28"/>
        <v>40350.208333333336</v>
      </c>
      <c r="O960" s="8">
        <f t="shared" si="29"/>
        <v>40372.208333333336</v>
      </c>
      <c r="P960" s="5">
        <f>_xlfn.DAYS(Table2[[#This Row],[Date Ended Conversion]],Table2[[#This Row],[Date Created Conversion]])+1</f>
        <v>23</v>
      </c>
      <c r="Q960" t="b">
        <v>0</v>
      </c>
      <c r="R960" t="b">
        <v>0</v>
      </c>
      <c r="S960" t="s">
        <v>71</v>
      </c>
      <c r="T960" t="str">
        <f>_xlfn.TEXTBEFORE(Table2[[#This Row],[category &amp; sub-category]],"/")</f>
        <v>film &amp; video</v>
      </c>
      <c r="U960" t="str">
        <f>_xlfn.TEXTAFTER(Table2[[#This Row],[category &amp; sub-category]],"/")</f>
        <v>animation</v>
      </c>
    </row>
    <row r="961" spans="1:21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5">
        <f>100*Table2[[#This Row],[pledged]]/Table2[[#This Row],[goal]]</f>
        <v>4.5731034482758623</v>
      </c>
      <c r="G961" t="s">
        <v>14</v>
      </c>
      <c r="H961">
        <v>130</v>
      </c>
      <c r="I961" s="4">
        <f>IF(Table2[[#This Row],[pledged]]&gt;0,Table2[[#This Row],[pledged]]/Table2[[#This Row],[backers_count]],0)</f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8">
        <f t="shared" si="28"/>
        <v>40357.208333333336</v>
      </c>
      <c r="O961" s="8">
        <f t="shared" si="29"/>
        <v>40385.208333333336</v>
      </c>
      <c r="P961" s="5">
        <f>_xlfn.DAYS(Table2[[#This Row],[Date Ended Conversion]],Table2[[#This Row],[Date Created Conversion]])+1</f>
        <v>29</v>
      </c>
      <c r="Q961" t="b">
        <v>0</v>
      </c>
      <c r="R961" t="b">
        <v>0</v>
      </c>
      <c r="S961" t="s">
        <v>206</v>
      </c>
      <c r="T961" t="str">
        <f>_xlfn.TEXTBEFORE(Table2[[#This Row],[category &amp; sub-category]],"/")</f>
        <v>publishing</v>
      </c>
      <c r="U961" t="str">
        <f>_xlfn.TEXTAFTER(Table2[[#This Row],[category &amp; sub-category]],"/")</f>
        <v>translations</v>
      </c>
    </row>
    <row r="962" spans="1:21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5">
        <f>100*Table2[[#This Row],[pledged]]/Table2[[#This Row],[goal]]</f>
        <v>85.054545454545448</v>
      </c>
      <c r="G962" t="s">
        <v>14</v>
      </c>
      <c r="H962">
        <v>55</v>
      </c>
      <c r="I962" s="4">
        <f>IF(Table2[[#This Row],[pledged]]&gt;0,Table2[[#This Row],[pledged]]/Table2[[#This Row],[backers_count]],0)</f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8">
        <f t="shared" ref="N962:N1001" si="30">(((L962/60)/60)/24)+DATE(1970,1,1)</f>
        <v>42408.25</v>
      </c>
      <c r="O962" s="8">
        <f t="shared" ref="O962:O1001" si="31">(((M962/60)/60)/24)+DATE(1970,1,1)</f>
        <v>42445.208333333328</v>
      </c>
      <c r="P962" s="5">
        <f>_xlfn.DAYS(Table2[[#This Row],[Date Ended Conversion]],Table2[[#This Row],[Date Created Conversion]])+1</f>
        <v>38</v>
      </c>
      <c r="Q962" t="b">
        <v>0</v>
      </c>
      <c r="R962" t="b">
        <v>0</v>
      </c>
      <c r="S962" t="s">
        <v>28</v>
      </c>
      <c r="T962" t="str">
        <f>_xlfn.TEXTBEFORE(Table2[[#This Row],[category &amp; sub-category]],"/")</f>
        <v>technology</v>
      </c>
      <c r="U962" t="str">
        <f>_xlfn.TEXTAFTER(Table2[[#This Row],[category &amp; sub-category]],"/")</f>
        <v>web</v>
      </c>
    </row>
    <row r="963" spans="1:21" ht="34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5">
        <f>100*Table2[[#This Row],[pledged]]/Table2[[#This Row],[goal]]</f>
        <v>119.29824561403508</v>
      </c>
      <c r="G963" t="s">
        <v>20</v>
      </c>
      <c r="H963">
        <v>155</v>
      </c>
      <c r="I963" s="4">
        <f>IF(Table2[[#This Row],[pledged]]&gt;0,Table2[[#This Row],[pledged]]/Table2[[#This Row],[backers_count]],0)</f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8">
        <f t="shared" si="30"/>
        <v>40591.25</v>
      </c>
      <c r="O963" s="8">
        <f t="shared" si="31"/>
        <v>40595.25</v>
      </c>
      <c r="P963" s="5">
        <f>_xlfn.DAYS(Table2[[#This Row],[Date Ended Conversion]],Table2[[#This Row],[Date Created Conversion]])+1</f>
        <v>5</v>
      </c>
      <c r="Q963" t="b">
        <v>0</v>
      </c>
      <c r="R963" t="b">
        <v>0</v>
      </c>
      <c r="S963" t="s">
        <v>206</v>
      </c>
      <c r="T963" t="str">
        <f>_xlfn.TEXTBEFORE(Table2[[#This Row],[category &amp; sub-category]],"/")</f>
        <v>publishing</v>
      </c>
      <c r="U963" t="str">
        <f>_xlfn.TEXTAFTER(Table2[[#This Row],[category &amp; sub-category]],"/")</f>
        <v>translations</v>
      </c>
    </row>
    <row r="964" spans="1:21" ht="17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5">
        <f>100*Table2[[#This Row],[pledged]]/Table2[[#This Row],[goal]]</f>
        <v>296.02777777777777</v>
      </c>
      <c r="G964" t="s">
        <v>20</v>
      </c>
      <c r="H964">
        <v>266</v>
      </c>
      <c r="I964" s="4">
        <f>IF(Table2[[#This Row],[pledged]]&gt;0,Table2[[#This Row],[pledged]]/Table2[[#This Row],[backers_count]],0)</f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8">
        <f t="shared" si="30"/>
        <v>41592.25</v>
      </c>
      <c r="O964" s="8">
        <f t="shared" si="31"/>
        <v>41613.25</v>
      </c>
      <c r="P964" s="5">
        <f>_xlfn.DAYS(Table2[[#This Row],[Date Ended Conversion]],Table2[[#This Row],[Date Created Conversion]])+1</f>
        <v>22</v>
      </c>
      <c r="Q964" t="b">
        <v>0</v>
      </c>
      <c r="R964" t="b">
        <v>0</v>
      </c>
      <c r="S964" t="s">
        <v>17</v>
      </c>
      <c r="T964" t="str">
        <f>_xlfn.TEXTBEFORE(Table2[[#This Row],[category &amp; sub-category]],"/")</f>
        <v>food</v>
      </c>
      <c r="U964" t="str">
        <f>_xlfn.TEXTAFTER(Table2[[#This Row],[category &amp; sub-category]],"/")</f>
        <v>food trucks</v>
      </c>
    </row>
    <row r="965" spans="1:21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5">
        <f>100*Table2[[#This Row],[pledged]]/Table2[[#This Row],[goal]]</f>
        <v>84.694915254237287</v>
      </c>
      <c r="G965" t="s">
        <v>14</v>
      </c>
      <c r="H965">
        <v>114</v>
      </c>
      <c r="I965" s="4">
        <f>IF(Table2[[#This Row],[pledged]]&gt;0,Table2[[#This Row],[pledged]]/Table2[[#This Row],[backers_count]],0)</f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8">
        <f t="shared" si="30"/>
        <v>40607.25</v>
      </c>
      <c r="O965" s="8">
        <f t="shared" si="31"/>
        <v>40613.25</v>
      </c>
      <c r="P965" s="5">
        <f>_xlfn.DAYS(Table2[[#This Row],[Date Ended Conversion]],Table2[[#This Row],[Date Created Conversion]])+1</f>
        <v>7</v>
      </c>
      <c r="Q965" t="b">
        <v>0</v>
      </c>
      <c r="R965" t="b">
        <v>1</v>
      </c>
      <c r="S965" t="s">
        <v>122</v>
      </c>
      <c r="T965" t="str">
        <f>_xlfn.TEXTBEFORE(Table2[[#This Row],[category &amp; sub-category]],"/")</f>
        <v>photography</v>
      </c>
      <c r="U965" t="str">
        <f>_xlfn.TEXTAFTER(Table2[[#This Row],[category &amp; sub-category]],"/")</f>
        <v>photography books</v>
      </c>
    </row>
    <row r="966" spans="1:21" ht="17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5">
        <f>100*Table2[[#This Row],[pledged]]/Table2[[#This Row],[goal]]</f>
        <v>355.7837837837838</v>
      </c>
      <c r="G966" t="s">
        <v>20</v>
      </c>
      <c r="H966">
        <v>155</v>
      </c>
      <c r="I966" s="4">
        <f>IF(Table2[[#This Row],[pledged]]&gt;0,Table2[[#This Row],[pledged]]/Table2[[#This Row],[backers_count]],0)</f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8">
        <f t="shared" si="30"/>
        <v>42135.208333333328</v>
      </c>
      <c r="O966" s="8">
        <f t="shared" si="31"/>
        <v>42140.208333333328</v>
      </c>
      <c r="P966" s="5">
        <f>_xlfn.DAYS(Table2[[#This Row],[Date Ended Conversion]],Table2[[#This Row],[Date Created Conversion]])+1</f>
        <v>6</v>
      </c>
      <c r="Q966" t="b">
        <v>0</v>
      </c>
      <c r="R966" t="b">
        <v>0</v>
      </c>
      <c r="S966" t="s">
        <v>33</v>
      </c>
      <c r="T966" t="str">
        <f>_xlfn.TEXTBEFORE(Table2[[#This Row],[category &amp; sub-category]],"/")</f>
        <v>theater</v>
      </c>
      <c r="U966" t="str">
        <f>_xlfn.TEXTAFTER(Table2[[#This Row],[category &amp; sub-category]],"/")</f>
        <v>plays</v>
      </c>
    </row>
    <row r="967" spans="1:21" ht="17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5">
        <f>100*Table2[[#This Row],[pledged]]/Table2[[#This Row],[goal]]</f>
        <v>386.40909090909093</v>
      </c>
      <c r="G967" t="s">
        <v>20</v>
      </c>
      <c r="H967">
        <v>207</v>
      </c>
      <c r="I967" s="4">
        <f>IF(Table2[[#This Row],[pledged]]&gt;0,Table2[[#This Row],[pledged]]/Table2[[#This Row],[backers_count]],0)</f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8">
        <f t="shared" si="30"/>
        <v>40203.25</v>
      </c>
      <c r="O967" s="8">
        <f t="shared" si="31"/>
        <v>40243.25</v>
      </c>
      <c r="P967" s="5">
        <f>_xlfn.DAYS(Table2[[#This Row],[Date Ended Conversion]],Table2[[#This Row],[Date Created Conversion]])+1</f>
        <v>41</v>
      </c>
      <c r="Q967" t="b">
        <v>0</v>
      </c>
      <c r="R967" t="b">
        <v>0</v>
      </c>
      <c r="S967" t="s">
        <v>23</v>
      </c>
      <c r="T967" t="str">
        <f>_xlfn.TEXTBEFORE(Table2[[#This Row],[category &amp; sub-category]],"/")</f>
        <v>music</v>
      </c>
      <c r="U967" t="str">
        <f>_xlfn.TEXTAFTER(Table2[[#This Row],[category &amp; sub-category]],"/")</f>
        <v>rock</v>
      </c>
    </row>
    <row r="968" spans="1:21" ht="17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5">
        <f>100*Table2[[#This Row],[pledged]]/Table2[[#This Row],[goal]]</f>
        <v>792.23529411764707</v>
      </c>
      <c r="G968" t="s">
        <v>20</v>
      </c>
      <c r="H968">
        <v>245</v>
      </c>
      <c r="I968" s="4">
        <f>IF(Table2[[#This Row],[pledged]]&gt;0,Table2[[#This Row],[pledged]]/Table2[[#This Row],[backers_count]],0)</f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8">
        <f t="shared" si="30"/>
        <v>42901.208333333328</v>
      </c>
      <c r="O968" s="8">
        <f t="shared" si="31"/>
        <v>42903.208333333328</v>
      </c>
      <c r="P968" s="5">
        <f>_xlfn.DAYS(Table2[[#This Row],[Date Ended Conversion]],Table2[[#This Row],[Date Created Conversion]])+1</f>
        <v>3</v>
      </c>
      <c r="Q968" t="b">
        <v>0</v>
      </c>
      <c r="R968" t="b">
        <v>0</v>
      </c>
      <c r="S968" t="s">
        <v>33</v>
      </c>
      <c r="T968" t="str">
        <f>_xlfn.TEXTBEFORE(Table2[[#This Row],[category &amp; sub-category]],"/")</f>
        <v>theater</v>
      </c>
      <c r="U968" t="str">
        <f>_xlfn.TEXTAFTER(Table2[[#This Row],[category &amp; sub-category]],"/")</f>
        <v>plays</v>
      </c>
    </row>
    <row r="969" spans="1:21" ht="17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5">
        <f>100*Table2[[#This Row],[pledged]]/Table2[[#This Row],[goal]]</f>
        <v>137.0339366515837</v>
      </c>
      <c r="G969" t="s">
        <v>20</v>
      </c>
      <c r="H969">
        <v>1573</v>
      </c>
      <c r="I969" s="4">
        <f>IF(Table2[[#This Row],[pledged]]&gt;0,Table2[[#This Row],[pledged]]/Table2[[#This Row],[backers_count]],0)</f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8">
        <f t="shared" si="30"/>
        <v>41005.208333333336</v>
      </c>
      <c r="O969" s="8">
        <f t="shared" si="31"/>
        <v>41042.208333333336</v>
      </c>
      <c r="P969" s="5">
        <f>_xlfn.DAYS(Table2[[#This Row],[Date Ended Conversion]],Table2[[#This Row],[Date Created Conversion]])+1</f>
        <v>38</v>
      </c>
      <c r="Q969" t="b">
        <v>0</v>
      </c>
      <c r="R969" t="b">
        <v>0</v>
      </c>
      <c r="S969" t="s">
        <v>319</v>
      </c>
      <c r="T969" t="str">
        <f>_xlfn.TEXTBEFORE(Table2[[#This Row],[category &amp; sub-category]],"/")</f>
        <v>music</v>
      </c>
      <c r="U969" t="str">
        <f>_xlfn.TEXTAFTER(Table2[[#This Row],[category &amp; sub-category]],"/")</f>
        <v>world music</v>
      </c>
    </row>
    <row r="970" spans="1:21" ht="34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5">
        <f>100*Table2[[#This Row],[pledged]]/Table2[[#This Row],[goal]]</f>
        <v>338.20833333333331</v>
      </c>
      <c r="G970" t="s">
        <v>20</v>
      </c>
      <c r="H970">
        <v>114</v>
      </c>
      <c r="I970" s="4">
        <f>IF(Table2[[#This Row],[pledged]]&gt;0,Table2[[#This Row],[pledged]]/Table2[[#This Row],[backers_count]],0)</f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8">
        <f t="shared" si="30"/>
        <v>40544.25</v>
      </c>
      <c r="O970" s="8">
        <f t="shared" si="31"/>
        <v>40559.25</v>
      </c>
      <c r="P970" s="5">
        <f>_xlfn.DAYS(Table2[[#This Row],[Date Ended Conversion]],Table2[[#This Row],[Date Created Conversion]])+1</f>
        <v>16</v>
      </c>
      <c r="Q970" t="b">
        <v>0</v>
      </c>
      <c r="R970" t="b">
        <v>0</v>
      </c>
      <c r="S970" t="s">
        <v>17</v>
      </c>
      <c r="T970" t="str">
        <f>_xlfn.TEXTBEFORE(Table2[[#This Row],[category &amp; sub-category]],"/")</f>
        <v>food</v>
      </c>
      <c r="U970" t="str">
        <f>_xlfn.TEXTAFTER(Table2[[#This Row],[category &amp; sub-category]],"/")</f>
        <v>food trucks</v>
      </c>
    </row>
    <row r="971" spans="1:21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5">
        <f>100*Table2[[#This Row],[pledged]]/Table2[[#This Row],[goal]]</f>
        <v>108.22784810126582</v>
      </c>
      <c r="G971" t="s">
        <v>20</v>
      </c>
      <c r="H971">
        <v>93</v>
      </c>
      <c r="I971" s="4">
        <f>IF(Table2[[#This Row],[pledged]]&gt;0,Table2[[#This Row],[pledged]]/Table2[[#This Row],[backers_count]],0)</f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8">
        <f t="shared" si="30"/>
        <v>43821.25</v>
      </c>
      <c r="O971" s="8">
        <f t="shared" si="31"/>
        <v>43828.25</v>
      </c>
      <c r="P971" s="5">
        <f>_xlfn.DAYS(Table2[[#This Row],[Date Ended Conversion]],Table2[[#This Row],[Date Created Conversion]])+1</f>
        <v>8</v>
      </c>
      <c r="Q971" t="b">
        <v>0</v>
      </c>
      <c r="R971" t="b">
        <v>0</v>
      </c>
      <c r="S971" t="s">
        <v>33</v>
      </c>
      <c r="T971" t="str">
        <f>_xlfn.TEXTBEFORE(Table2[[#This Row],[category &amp; sub-category]],"/")</f>
        <v>theater</v>
      </c>
      <c r="U971" t="str">
        <f>_xlfn.TEXTAFTER(Table2[[#This Row],[category &amp; sub-category]],"/")</f>
        <v>plays</v>
      </c>
    </row>
    <row r="972" spans="1:21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5">
        <f>100*Table2[[#This Row],[pledged]]/Table2[[#This Row],[goal]]</f>
        <v>60.757639620653322</v>
      </c>
      <c r="G972" t="s">
        <v>14</v>
      </c>
      <c r="H972">
        <v>594</v>
      </c>
      <c r="I972" s="4">
        <f>IF(Table2[[#This Row],[pledged]]&gt;0,Table2[[#This Row],[pledged]]/Table2[[#This Row],[backers_count]],0)</f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8">
        <f t="shared" si="30"/>
        <v>40672.208333333336</v>
      </c>
      <c r="O972" s="8">
        <f t="shared" si="31"/>
        <v>40673.208333333336</v>
      </c>
      <c r="P972" s="5">
        <f>_xlfn.DAYS(Table2[[#This Row],[Date Ended Conversion]],Table2[[#This Row],[Date Created Conversion]])+1</f>
        <v>2</v>
      </c>
      <c r="Q972" t="b">
        <v>0</v>
      </c>
      <c r="R972" t="b">
        <v>0</v>
      </c>
      <c r="S972" t="s">
        <v>33</v>
      </c>
      <c r="T972" t="str">
        <f>_xlfn.TEXTBEFORE(Table2[[#This Row],[category &amp; sub-category]],"/")</f>
        <v>theater</v>
      </c>
      <c r="U972" t="str">
        <f>_xlfn.TEXTAFTER(Table2[[#This Row],[category &amp; sub-category]],"/")</f>
        <v>plays</v>
      </c>
    </row>
    <row r="973" spans="1:21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5">
        <f>100*Table2[[#This Row],[pledged]]/Table2[[#This Row],[goal]]</f>
        <v>27.725490196078432</v>
      </c>
      <c r="G973" t="s">
        <v>14</v>
      </c>
      <c r="H973">
        <v>24</v>
      </c>
      <c r="I973" s="4">
        <f>IF(Table2[[#This Row],[pledged]]&gt;0,Table2[[#This Row],[pledged]]/Table2[[#This Row],[backers_count]],0)</f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8">
        <f t="shared" si="30"/>
        <v>41555.208333333336</v>
      </c>
      <c r="O973" s="8">
        <f t="shared" si="31"/>
        <v>41561.208333333336</v>
      </c>
      <c r="P973" s="5">
        <f>_xlfn.DAYS(Table2[[#This Row],[Date Ended Conversion]],Table2[[#This Row],[Date Created Conversion]])+1</f>
        <v>7</v>
      </c>
      <c r="Q973" t="b">
        <v>0</v>
      </c>
      <c r="R973" t="b">
        <v>0</v>
      </c>
      <c r="S973" t="s">
        <v>269</v>
      </c>
      <c r="T973" t="str">
        <f>_xlfn.TEXTBEFORE(Table2[[#This Row],[category &amp; sub-category]],"/")</f>
        <v>film &amp; video</v>
      </c>
      <c r="U973" t="str">
        <f>_xlfn.TEXTAFTER(Table2[[#This Row],[category &amp; sub-category]],"/")</f>
        <v>television</v>
      </c>
    </row>
    <row r="974" spans="1:21" ht="34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5">
        <f>100*Table2[[#This Row],[pledged]]/Table2[[#This Row],[goal]]</f>
        <v>228.39344262295083</v>
      </c>
      <c r="G974" t="s">
        <v>20</v>
      </c>
      <c r="H974">
        <v>1681</v>
      </c>
      <c r="I974" s="4">
        <f>IF(Table2[[#This Row],[pledged]]&gt;0,Table2[[#This Row],[pledged]]/Table2[[#This Row],[backers_count]],0)</f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8">
        <f t="shared" si="30"/>
        <v>41792.208333333336</v>
      </c>
      <c r="O974" s="8">
        <f t="shared" si="31"/>
        <v>41801.208333333336</v>
      </c>
      <c r="P974" s="5">
        <f>_xlfn.DAYS(Table2[[#This Row],[Date Ended Conversion]],Table2[[#This Row],[Date Created Conversion]])+1</f>
        <v>10</v>
      </c>
      <c r="Q974" t="b">
        <v>0</v>
      </c>
      <c r="R974" t="b">
        <v>1</v>
      </c>
      <c r="S974" t="s">
        <v>28</v>
      </c>
      <c r="T974" t="str">
        <f>_xlfn.TEXTBEFORE(Table2[[#This Row],[category &amp; sub-category]],"/")</f>
        <v>technology</v>
      </c>
      <c r="U974" t="str">
        <f>_xlfn.TEXTAFTER(Table2[[#This Row],[category &amp; sub-category]],"/")</f>
        <v>web</v>
      </c>
    </row>
    <row r="975" spans="1:21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5">
        <f>100*Table2[[#This Row],[pledged]]/Table2[[#This Row],[goal]]</f>
        <v>21.615194054500414</v>
      </c>
      <c r="G975" t="s">
        <v>14</v>
      </c>
      <c r="H975">
        <v>252</v>
      </c>
      <c r="I975" s="4">
        <f>IF(Table2[[#This Row],[pledged]]&gt;0,Table2[[#This Row],[pledged]]/Table2[[#This Row],[backers_count]],0)</f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8">
        <f t="shared" si="30"/>
        <v>40522.25</v>
      </c>
      <c r="O975" s="8">
        <f t="shared" si="31"/>
        <v>40524.25</v>
      </c>
      <c r="P975" s="5">
        <f>_xlfn.DAYS(Table2[[#This Row],[Date Ended Conversion]],Table2[[#This Row],[Date Created Conversion]])+1</f>
        <v>3</v>
      </c>
      <c r="Q975" t="b">
        <v>0</v>
      </c>
      <c r="R975" t="b">
        <v>1</v>
      </c>
      <c r="S975" t="s">
        <v>33</v>
      </c>
      <c r="T975" t="str">
        <f>_xlfn.TEXTBEFORE(Table2[[#This Row],[category &amp; sub-category]],"/")</f>
        <v>theater</v>
      </c>
      <c r="U975" t="str">
        <f>_xlfn.TEXTAFTER(Table2[[#This Row],[category &amp; sub-category]],"/")</f>
        <v>plays</v>
      </c>
    </row>
    <row r="976" spans="1:21" ht="17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5">
        <f>100*Table2[[#This Row],[pledged]]/Table2[[#This Row],[goal]]</f>
        <v>373.875</v>
      </c>
      <c r="G976" t="s">
        <v>20</v>
      </c>
      <c r="H976">
        <v>32</v>
      </c>
      <c r="I976" s="4">
        <f>IF(Table2[[#This Row],[pledged]]&gt;0,Table2[[#This Row],[pledged]]/Table2[[#This Row],[backers_count]],0)</f>
        <v>93.46875</v>
      </c>
      <c r="J976" t="s">
        <v>21</v>
      </c>
      <c r="K976" t="s">
        <v>22</v>
      </c>
      <c r="L976">
        <v>1368853200</v>
      </c>
      <c r="M976">
        <v>1368939600</v>
      </c>
      <c r="N976" s="8">
        <f t="shared" si="30"/>
        <v>41412.208333333336</v>
      </c>
      <c r="O976" s="8">
        <f t="shared" si="31"/>
        <v>41413.208333333336</v>
      </c>
      <c r="P976" s="5">
        <f>_xlfn.DAYS(Table2[[#This Row],[Date Ended Conversion]],Table2[[#This Row],[Date Created Conversion]])+1</f>
        <v>2</v>
      </c>
      <c r="Q976" t="b">
        <v>0</v>
      </c>
      <c r="R976" t="b">
        <v>0</v>
      </c>
      <c r="S976" t="s">
        <v>60</v>
      </c>
      <c r="T976" t="str">
        <f>_xlfn.TEXTBEFORE(Table2[[#This Row],[category &amp; sub-category]],"/")</f>
        <v>music</v>
      </c>
      <c r="U976" t="str">
        <f>_xlfn.TEXTAFTER(Table2[[#This Row],[category &amp; sub-category]],"/")</f>
        <v>indie rock</v>
      </c>
    </row>
    <row r="977" spans="1:21" ht="17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5">
        <f>100*Table2[[#This Row],[pledged]]/Table2[[#This Row],[goal]]</f>
        <v>154.92592592592592</v>
      </c>
      <c r="G977" t="s">
        <v>20</v>
      </c>
      <c r="H977">
        <v>135</v>
      </c>
      <c r="I977" s="4">
        <f>IF(Table2[[#This Row],[pledged]]&gt;0,Table2[[#This Row],[pledged]]/Table2[[#This Row],[backers_count]],0)</f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8">
        <f t="shared" si="30"/>
        <v>42337.25</v>
      </c>
      <c r="O977" s="8">
        <f t="shared" si="31"/>
        <v>42376.25</v>
      </c>
      <c r="P977" s="5">
        <f>_xlfn.DAYS(Table2[[#This Row],[Date Ended Conversion]],Table2[[#This Row],[Date Created Conversion]])+1</f>
        <v>40</v>
      </c>
      <c r="Q977" t="b">
        <v>0</v>
      </c>
      <c r="R977" t="b">
        <v>1</v>
      </c>
      <c r="S977" t="s">
        <v>33</v>
      </c>
      <c r="T977" t="str">
        <f>_xlfn.TEXTBEFORE(Table2[[#This Row],[category &amp; sub-category]],"/")</f>
        <v>theater</v>
      </c>
      <c r="U977" t="str">
        <f>_xlfn.TEXTAFTER(Table2[[#This Row],[category &amp; sub-category]],"/")</f>
        <v>plays</v>
      </c>
    </row>
    <row r="978" spans="1:21" ht="34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5">
        <f>100*Table2[[#This Row],[pledged]]/Table2[[#This Row],[goal]]</f>
        <v>322.14999999999998</v>
      </c>
      <c r="G978" t="s">
        <v>20</v>
      </c>
      <c r="H978">
        <v>140</v>
      </c>
      <c r="I978" s="4">
        <f>IF(Table2[[#This Row],[pledged]]&gt;0,Table2[[#This Row],[pledged]]/Table2[[#This Row],[backers_count]],0)</f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8">
        <f t="shared" si="30"/>
        <v>40571.25</v>
      </c>
      <c r="O978" s="8">
        <f t="shared" si="31"/>
        <v>40577.25</v>
      </c>
      <c r="P978" s="5">
        <f>_xlfn.DAYS(Table2[[#This Row],[Date Ended Conversion]],Table2[[#This Row],[Date Created Conversion]])+1</f>
        <v>7</v>
      </c>
      <c r="Q978" t="b">
        <v>0</v>
      </c>
      <c r="R978" t="b">
        <v>1</v>
      </c>
      <c r="S978" t="s">
        <v>33</v>
      </c>
      <c r="T978" t="str">
        <f>_xlfn.TEXTBEFORE(Table2[[#This Row],[category &amp; sub-category]],"/")</f>
        <v>theater</v>
      </c>
      <c r="U978" t="str">
        <f>_xlfn.TEXTAFTER(Table2[[#This Row],[category &amp; sub-category]],"/")</f>
        <v>plays</v>
      </c>
    </row>
    <row r="979" spans="1:21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5">
        <f>100*Table2[[#This Row],[pledged]]/Table2[[#This Row],[goal]]</f>
        <v>73.957142857142856</v>
      </c>
      <c r="G979" t="s">
        <v>14</v>
      </c>
      <c r="H979">
        <v>67</v>
      </c>
      <c r="I979" s="4">
        <f>IF(Table2[[#This Row],[pledged]]&gt;0,Table2[[#This Row],[pledged]]/Table2[[#This Row],[backers_count]],0)</f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8">
        <f t="shared" si="30"/>
        <v>43138.25</v>
      </c>
      <c r="O979" s="8">
        <f t="shared" si="31"/>
        <v>43170.25</v>
      </c>
      <c r="P979" s="5">
        <f>_xlfn.DAYS(Table2[[#This Row],[Date Ended Conversion]],Table2[[#This Row],[Date Created Conversion]])+1</f>
        <v>33</v>
      </c>
      <c r="Q979" t="b">
        <v>0</v>
      </c>
      <c r="R979" t="b">
        <v>0</v>
      </c>
      <c r="S979" t="s">
        <v>17</v>
      </c>
      <c r="T979" t="str">
        <f>_xlfn.TEXTBEFORE(Table2[[#This Row],[category &amp; sub-category]],"/")</f>
        <v>food</v>
      </c>
      <c r="U979" t="str">
        <f>_xlfn.TEXTAFTER(Table2[[#This Row],[category &amp; sub-category]],"/")</f>
        <v>food trucks</v>
      </c>
    </row>
    <row r="980" spans="1:21" ht="17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5">
        <f>100*Table2[[#This Row],[pledged]]/Table2[[#This Row],[goal]]</f>
        <v>864.1</v>
      </c>
      <c r="G980" t="s">
        <v>20</v>
      </c>
      <c r="H980">
        <v>92</v>
      </c>
      <c r="I980" s="4">
        <f>IF(Table2[[#This Row],[pledged]]&gt;0,Table2[[#This Row],[pledged]]/Table2[[#This Row],[backers_count]],0)</f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8">
        <f t="shared" si="30"/>
        <v>42686.25</v>
      </c>
      <c r="O980" s="8">
        <f t="shared" si="31"/>
        <v>42708.25</v>
      </c>
      <c r="P980" s="5">
        <f>_xlfn.DAYS(Table2[[#This Row],[Date Ended Conversion]],Table2[[#This Row],[Date Created Conversion]])+1</f>
        <v>23</v>
      </c>
      <c r="Q980" t="b">
        <v>0</v>
      </c>
      <c r="R980" t="b">
        <v>0</v>
      </c>
      <c r="S980" t="s">
        <v>89</v>
      </c>
      <c r="T980" t="str">
        <f>_xlfn.TEXTBEFORE(Table2[[#This Row],[category &amp; sub-category]],"/")</f>
        <v>games</v>
      </c>
      <c r="U980" t="str">
        <f>_xlfn.TEXTAFTER(Table2[[#This Row],[category &amp; sub-category]],"/")</f>
        <v>video games</v>
      </c>
    </row>
    <row r="981" spans="1:21" ht="17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5">
        <f>100*Table2[[#This Row],[pledged]]/Table2[[#This Row],[goal]]</f>
        <v>143.26245847176079</v>
      </c>
      <c r="G981" t="s">
        <v>20</v>
      </c>
      <c r="H981">
        <v>1015</v>
      </c>
      <c r="I981" s="4">
        <f>IF(Table2[[#This Row],[pledged]]&gt;0,Table2[[#This Row],[pledged]]/Table2[[#This Row],[backers_count]],0)</f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8">
        <f t="shared" si="30"/>
        <v>42078.208333333328</v>
      </c>
      <c r="O981" s="8">
        <f t="shared" si="31"/>
        <v>42084.208333333328</v>
      </c>
      <c r="P981" s="5">
        <f>_xlfn.DAYS(Table2[[#This Row],[Date Ended Conversion]],Table2[[#This Row],[Date Created Conversion]])+1</f>
        <v>7</v>
      </c>
      <c r="Q981" t="b">
        <v>0</v>
      </c>
      <c r="R981" t="b">
        <v>0</v>
      </c>
      <c r="S981" t="s">
        <v>33</v>
      </c>
      <c r="T981" t="str">
        <f>_xlfn.TEXTBEFORE(Table2[[#This Row],[category &amp; sub-category]],"/")</f>
        <v>theater</v>
      </c>
      <c r="U981" t="str">
        <f>_xlfn.TEXTAFTER(Table2[[#This Row],[category &amp; sub-category]],"/")</f>
        <v>plays</v>
      </c>
    </row>
    <row r="982" spans="1:21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5">
        <f>100*Table2[[#This Row],[pledged]]/Table2[[#This Row],[goal]]</f>
        <v>40.281762295081968</v>
      </c>
      <c r="G982" t="s">
        <v>14</v>
      </c>
      <c r="H982">
        <v>742</v>
      </c>
      <c r="I982" s="4">
        <f>IF(Table2[[#This Row],[pledged]]&gt;0,Table2[[#This Row],[pledged]]/Table2[[#This Row],[backers_count]],0)</f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8">
        <f t="shared" si="30"/>
        <v>42307.208333333328</v>
      </c>
      <c r="O982" s="8">
        <f t="shared" si="31"/>
        <v>42312.25</v>
      </c>
      <c r="P982" s="5">
        <f>_xlfn.DAYS(Table2[[#This Row],[Date Ended Conversion]],Table2[[#This Row],[Date Created Conversion]])+1</f>
        <v>6</v>
      </c>
      <c r="Q982" t="b">
        <v>1</v>
      </c>
      <c r="R982" t="b">
        <v>0</v>
      </c>
      <c r="S982" t="s">
        <v>68</v>
      </c>
      <c r="T982" t="str">
        <f>_xlfn.TEXTBEFORE(Table2[[#This Row],[category &amp; sub-category]],"/")</f>
        <v>publishing</v>
      </c>
      <c r="U982" t="str">
        <f>_xlfn.TEXTAFTER(Table2[[#This Row],[category &amp; sub-category]],"/")</f>
        <v>nonfiction</v>
      </c>
    </row>
    <row r="983" spans="1:21" ht="17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5">
        <f>100*Table2[[#This Row],[pledged]]/Table2[[#This Row],[goal]]</f>
        <v>178.22388059701493</v>
      </c>
      <c r="G983" t="s">
        <v>20</v>
      </c>
      <c r="H983">
        <v>323</v>
      </c>
      <c r="I983" s="4">
        <f>IF(Table2[[#This Row],[pledged]]&gt;0,Table2[[#This Row],[pledged]]/Table2[[#This Row],[backers_count]],0)</f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8">
        <f t="shared" si="30"/>
        <v>43094.25</v>
      </c>
      <c r="O983" s="8">
        <f t="shared" si="31"/>
        <v>43127.25</v>
      </c>
      <c r="P983" s="5">
        <f>_xlfn.DAYS(Table2[[#This Row],[Date Ended Conversion]],Table2[[#This Row],[Date Created Conversion]])+1</f>
        <v>34</v>
      </c>
      <c r="Q983" t="b">
        <v>0</v>
      </c>
      <c r="R983" t="b">
        <v>0</v>
      </c>
      <c r="S983" t="s">
        <v>28</v>
      </c>
      <c r="T983" t="str">
        <f>_xlfn.TEXTBEFORE(Table2[[#This Row],[category &amp; sub-category]],"/")</f>
        <v>technology</v>
      </c>
      <c r="U983" t="str">
        <f>_xlfn.TEXTAFTER(Table2[[#This Row],[category &amp; sub-category]],"/")</f>
        <v>web</v>
      </c>
    </row>
    <row r="984" spans="1:21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5">
        <f>100*Table2[[#This Row],[pledged]]/Table2[[#This Row],[goal]]</f>
        <v>84.930555555555557</v>
      </c>
      <c r="G984" t="s">
        <v>14</v>
      </c>
      <c r="H984">
        <v>75</v>
      </c>
      <c r="I984" s="4">
        <f>IF(Table2[[#This Row],[pledged]]&gt;0,Table2[[#This Row],[pledged]]/Table2[[#This Row],[backers_count]],0)</f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8">
        <f t="shared" si="30"/>
        <v>40743.208333333336</v>
      </c>
      <c r="O984" s="8">
        <f t="shared" si="31"/>
        <v>40745.208333333336</v>
      </c>
      <c r="P984" s="5">
        <f>_xlfn.DAYS(Table2[[#This Row],[Date Ended Conversion]],Table2[[#This Row],[Date Created Conversion]])+1</f>
        <v>3</v>
      </c>
      <c r="Q984" t="b">
        <v>0</v>
      </c>
      <c r="R984" t="b">
        <v>1</v>
      </c>
      <c r="S984" t="s">
        <v>42</v>
      </c>
      <c r="T984" t="str">
        <f>_xlfn.TEXTBEFORE(Table2[[#This Row],[category &amp; sub-category]],"/")</f>
        <v>film &amp; video</v>
      </c>
      <c r="U984" t="str">
        <f>_xlfn.TEXTAFTER(Table2[[#This Row],[category &amp; sub-category]],"/")</f>
        <v>documentary</v>
      </c>
    </row>
    <row r="985" spans="1:21" ht="17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5">
        <f>100*Table2[[#This Row],[pledged]]/Table2[[#This Row],[goal]]</f>
        <v>145.93648334624322</v>
      </c>
      <c r="G985" t="s">
        <v>20</v>
      </c>
      <c r="H985">
        <v>2326</v>
      </c>
      <c r="I985" s="4">
        <f>IF(Table2[[#This Row],[pledged]]&gt;0,Table2[[#This Row],[pledged]]/Table2[[#This Row],[backers_count]],0)</f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8">
        <f t="shared" si="30"/>
        <v>43681.208333333328</v>
      </c>
      <c r="O985" s="8">
        <f t="shared" si="31"/>
        <v>43696.208333333328</v>
      </c>
      <c r="P985" s="5">
        <f>_xlfn.DAYS(Table2[[#This Row],[Date Ended Conversion]],Table2[[#This Row],[Date Created Conversion]])+1</f>
        <v>16</v>
      </c>
      <c r="Q985" t="b">
        <v>0</v>
      </c>
      <c r="R985" t="b">
        <v>0</v>
      </c>
      <c r="S985" t="s">
        <v>42</v>
      </c>
      <c r="T985" t="str">
        <f>_xlfn.TEXTBEFORE(Table2[[#This Row],[category &amp; sub-category]],"/")</f>
        <v>film &amp; video</v>
      </c>
      <c r="U985" t="str">
        <f>_xlfn.TEXTAFTER(Table2[[#This Row],[category &amp; sub-category]],"/")</f>
        <v>documentary</v>
      </c>
    </row>
    <row r="986" spans="1:21" ht="34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5">
        <f>100*Table2[[#This Row],[pledged]]/Table2[[#This Row],[goal]]</f>
        <v>152.46153846153845</v>
      </c>
      <c r="G986" t="s">
        <v>20</v>
      </c>
      <c r="H986">
        <v>381</v>
      </c>
      <c r="I986" s="4">
        <f>IF(Table2[[#This Row],[pledged]]&gt;0,Table2[[#This Row],[pledged]]/Table2[[#This Row],[backers_count]],0)</f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8">
        <f t="shared" si="30"/>
        <v>43716.208333333328</v>
      </c>
      <c r="O986" s="8">
        <f t="shared" si="31"/>
        <v>43742.208333333328</v>
      </c>
      <c r="P986" s="5">
        <f>_xlfn.DAYS(Table2[[#This Row],[Date Ended Conversion]],Table2[[#This Row],[Date Created Conversion]])+1</f>
        <v>27</v>
      </c>
      <c r="Q986" t="b">
        <v>0</v>
      </c>
      <c r="R986" t="b">
        <v>0</v>
      </c>
      <c r="S986" t="s">
        <v>33</v>
      </c>
      <c r="T986" t="str">
        <f>_xlfn.TEXTBEFORE(Table2[[#This Row],[category &amp; sub-category]],"/")</f>
        <v>theater</v>
      </c>
      <c r="U986" t="str">
        <f>_xlfn.TEXTAFTER(Table2[[#This Row],[category &amp; sub-category]],"/")</f>
        <v>plays</v>
      </c>
    </row>
    <row r="987" spans="1:21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5">
        <f>100*Table2[[#This Row],[pledged]]/Table2[[#This Row],[goal]]</f>
        <v>67.129542790152399</v>
      </c>
      <c r="G987" t="s">
        <v>14</v>
      </c>
      <c r="H987">
        <v>4405</v>
      </c>
      <c r="I987" s="4">
        <f>IF(Table2[[#This Row],[pledged]]&gt;0,Table2[[#This Row],[pledged]]/Table2[[#This Row],[backers_count]],0)</f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8">
        <f t="shared" si="30"/>
        <v>41614.25</v>
      </c>
      <c r="O987" s="8">
        <f t="shared" si="31"/>
        <v>41640.25</v>
      </c>
      <c r="P987" s="5">
        <f>_xlfn.DAYS(Table2[[#This Row],[Date Ended Conversion]],Table2[[#This Row],[Date Created Conversion]])+1</f>
        <v>27</v>
      </c>
      <c r="Q987" t="b">
        <v>0</v>
      </c>
      <c r="R987" t="b">
        <v>1</v>
      </c>
      <c r="S987" t="s">
        <v>23</v>
      </c>
      <c r="T987" t="str">
        <f>_xlfn.TEXTBEFORE(Table2[[#This Row],[category &amp; sub-category]],"/")</f>
        <v>music</v>
      </c>
      <c r="U987" t="str">
        <f>_xlfn.TEXTAFTER(Table2[[#This Row],[category &amp; sub-category]],"/")</f>
        <v>rock</v>
      </c>
    </row>
    <row r="988" spans="1:21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5">
        <f>100*Table2[[#This Row],[pledged]]/Table2[[#This Row],[goal]]</f>
        <v>40.307692307692307</v>
      </c>
      <c r="G988" t="s">
        <v>14</v>
      </c>
      <c r="H988">
        <v>92</v>
      </c>
      <c r="I988" s="4">
        <f>IF(Table2[[#This Row],[pledged]]&gt;0,Table2[[#This Row],[pledged]]/Table2[[#This Row],[backers_count]],0)</f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8">
        <f t="shared" si="30"/>
        <v>40638.208333333336</v>
      </c>
      <c r="O988" s="8">
        <f t="shared" si="31"/>
        <v>40652.208333333336</v>
      </c>
      <c r="P988" s="5">
        <f>_xlfn.DAYS(Table2[[#This Row],[Date Ended Conversion]],Table2[[#This Row],[Date Created Conversion]])+1</f>
        <v>15</v>
      </c>
      <c r="Q988" t="b">
        <v>0</v>
      </c>
      <c r="R988" t="b">
        <v>0</v>
      </c>
      <c r="S988" t="s">
        <v>23</v>
      </c>
      <c r="T988" t="str">
        <f>_xlfn.TEXTBEFORE(Table2[[#This Row],[category &amp; sub-category]],"/")</f>
        <v>music</v>
      </c>
      <c r="U988" t="str">
        <f>_xlfn.TEXTAFTER(Table2[[#This Row],[category &amp; sub-category]],"/")</f>
        <v>rock</v>
      </c>
    </row>
    <row r="989" spans="1:21" ht="17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5">
        <f>100*Table2[[#This Row],[pledged]]/Table2[[#This Row],[goal]]</f>
        <v>216.79032258064515</v>
      </c>
      <c r="G989" t="s">
        <v>20</v>
      </c>
      <c r="H989">
        <v>480</v>
      </c>
      <c r="I989" s="4">
        <f>IF(Table2[[#This Row],[pledged]]&gt;0,Table2[[#This Row],[pledged]]/Table2[[#This Row],[backers_count]],0)</f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8">
        <f t="shared" si="30"/>
        <v>42852.208333333328</v>
      </c>
      <c r="O989" s="8">
        <f t="shared" si="31"/>
        <v>42866.208333333328</v>
      </c>
      <c r="P989" s="5">
        <f>_xlfn.DAYS(Table2[[#This Row],[Date Ended Conversion]],Table2[[#This Row],[Date Created Conversion]])+1</f>
        <v>15</v>
      </c>
      <c r="Q989" t="b">
        <v>0</v>
      </c>
      <c r="R989" t="b">
        <v>0</v>
      </c>
      <c r="S989" t="s">
        <v>42</v>
      </c>
      <c r="T989" t="str">
        <f>_xlfn.TEXTBEFORE(Table2[[#This Row],[category &amp; sub-category]],"/")</f>
        <v>film &amp; video</v>
      </c>
      <c r="U989" t="str">
        <f>_xlfn.TEXTAFTER(Table2[[#This Row],[category &amp; sub-category]],"/")</f>
        <v>documentary</v>
      </c>
    </row>
    <row r="990" spans="1:21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5">
        <f>100*Table2[[#This Row],[pledged]]/Table2[[#This Row],[goal]]</f>
        <v>52.117021276595743</v>
      </c>
      <c r="G990" t="s">
        <v>14</v>
      </c>
      <c r="H990">
        <v>64</v>
      </c>
      <c r="I990" s="4">
        <f>IF(Table2[[#This Row],[pledged]]&gt;0,Table2[[#This Row],[pledged]]/Table2[[#This Row],[backers_count]],0)</f>
        <v>76.546875</v>
      </c>
      <c r="J990" t="s">
        <v>21</v>
      </c>
      <c r="K990" t="s">
        <v>22</v>
      </c>
      <c r="L990">
        <v>1478930400</v>
      </c>
      <c r="M990">
        <v>1480744800</v>
      </c>
      <c r="N990" s="8">
        <f t="shared" si="30"/>
        <v>42686.25</v>
      </c>
      <c r="O990" s="8">
        <f t="shared" si="31"/>
        <v>42707.25</v>
      </c>
      <c r="P990" s="5">
        <f>_xlfn.DAYS(Table2[[#This Row],[Date Ended Conversion]],Table2[[#This Row],[Date Created Conversion]])+1</f>
        <v>22</v>
      </c>
      <c r="Q990" t="b">
        <v>0</v>
      </c>
      <c r="R990" t="b">
        <v>0</v>
      </c>
      <c r="S990" t="s">
        <v>133</v>
      </c>
      <c r="T990" t="str">
        <f>_xlfn.TEXTBEFORE(Table2[[#This Row],[category &amp; sub-category]],"/")</f>
        <v>publishing</v>
      </c>
      <c r="U990" t="str">
        <f>_xlfn.TEXTAFTER(Table2[[#This Row],[category &amp; sub-category]],"/")</f>
        <v>radio &amp; podcasts</v>
      </c>
    </row>
    <row r="991" spans="1:21" ht="17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5">
        <f>100*Table2[[#This Row],[pledged]]/Table2[[#This Row],[goal]]</f>
        <v>499.58333333333331</v>
      </c>
      <c r="G991" t="s">
        <v>20</v>
      </c>
      <c r="H991">
        <v>226</v>
      </c>
      <c r="I991" s="4">
        <f>IF(Table2[[#This Row],[pledged]]&gt;0,Table2[[#This Row],[pledged]]/Table2[[#This Row],[backers_count]],0)</f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8">
        <f t="shared" si="30"/>
        <v>43571.208333333328</v>
      </c>
      <c r="O991" s="8">
        <f t="shared" si="31"/>
        <v>43576.208333333328</v>
      </c>
      <c r="P991" s="5">
        <f>_xlfn.DAYS(Table2[[#This Row],[Date Ended Conversion]],Table2[[#This Row],[Date Created Conversion]])+1</f>
        <v>6</v>
      </c>
      <c r="Q991" t="b">
        <v>0</v>
      </c>
      <c r="R991" t="b">
        <v>0</v>
      </c>
      <c r="S991" t="s">
        <v>206</v>
      </c>
      <c r="T991" t="str">
        <f>_xlfn.TEXTBEFORE(Table2[[#This Row],[category &amp; sub-category]],"/")</f>
        <v>publishing</v>
      </c>
      <c r="U991" t="str">
        <f>_xlfn.TEXTAFTER(Table2[[#This Row],[category &amp; sub-category]],"/")</f>
        <v>translations</v>
      </c>
    </row>
    <row r="992" spans="1:21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5">
        <f>100*Table2[[#This Row],[pledged]]/Table2[[#This Row],[goal]]</f>
        <v>87.679487179487182</v>
      </c>
      <c r="G992" t="s">
        <v>14</v>
      </c>
      <c r="H992">
        <v>64</v>
      </c>
      <c r="I992" s="4">
        <f>IF(Table2[[#This Row],[pledged]]&gt;0,Table2[[#This Row],[pledged]]/Table2[[#This Row],[backers_count]],0)</f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8">
        <f t="shared" si="30"/>
        <v>42432.25</v>
      </c>
      <c r="O992" s="8">
        <f t="shared" si="31"/>
        <v>42454.208333333328</v>
      </c>
      <c r="P992" s="5">
        <f>_xlfn.DAYS(Table2[[#This Row],[Date Ended Conversion]],Table2[[#This Row],[Date Created Conversion]])+1</f>
        <v>23</v>
      </c>
      <c r="Q992" t="b">
        <v>0</v>
      </c>
      <c r="R992" t="b">
        <v>1</v>
      </c>
      <c r="S992" t="s">
        <v>53</v>
      </c>
      <c r="T992" t="str">
        <f>_xlfn.TEXTBEFORE(Table2[[#This Row],[category &amp; sub-category]],"/")</f>
        <v>film &amp; video</v>
      </c>
      <c r="U992" t="str">
        <f>_xlfn.TEXTAFTER(Table2[[#This Row],[category &amp; sub-category]],"/")</f>
        <v>drama</v>
      </c>
    </row>
    <row r="993" spans="1:21" ht="17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5">
        <f>100*Table2[[#This Row],[pledged]]/Table2[[#This Row],[goal]]</f>
        <v>113.17346938775511</v>
      </c>
      <c r="G993" t="s">
        <v>20</v>
      </c>
      <c r="H993">
        <v>241</v>
      </c>
      <c r="I993" s="4">
        <f>IF(Table2[[#This Row],[pledged]]&gt;0,Table2[[#This Row],[pledged]]/Table2[[#This Row],[backers_count]],0)</f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8">
        <f t="shared" si="30"/>
        <v>41907.208333333336</v>
      </c>
      <c r="O993" s="8">
        <f t="shared" si="31"/>
        <v>41911.208333333336</v>
      </c>
      <c r="P993" s="5">
        <f>_xlfn.DAYS(Table2[[#This Row],[Date Ended Conversion]],Table2[[#This Row],[Date Created Conversion]])+1</f>
        <v>5</v>
      </c>
      <c r="Q993" t="b">
        <v>0</v>
      </c>
      <c r="R993" t="b">
        <v>1</v>
      </c>
      <c r="S993" t="s">
        <v>23</v>
      </c>
      <c r="T993" t="str">
        <f>_xlfn.TEXTBEFORE(Table2[[#This Row],[category &amp; sub-category]],"/")</f>
        <v>music</v>
      </c>
      <c r="U993" t="str">
        <f>_xlfn.TEXTAFTER(Table2[[#This Row],[category &amp; sub-category]],"/")</f>
        <v>rock</v>
      </c>
    </row>
    <row r="994" spans="1:21" ht="17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5">
        <f>100*Table2[[#This Row],[pledged]]/Table2[[#This Row],[goal]]</f>
        <v>426.54838709677421</v>
      </c>
      <c r="G994" t="s">
        <v>20</v>
      </c>
      <c r="H994">
        <v>132</v>
      </c>
      <c r="I994" s="4">
        <f>IF(Table2[[#This Row],[pledged]]&gt;0,Table2[[#This Row],[pledged]]/Table2[[#This Row],[backers_count]],0)</f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8">
        <f t="shared" si="30"/>
        <v>43227.208333333328</v>
      </c>
      <c r="O994" s="8">
        <f t="shared" si="31"/>
        <v>43241.208333333328</v>
      </c>
      <c r="P994" s="5">
        <f>_xlfn.DAYS(Table2[[#This Row],[Date Ended Conversion]],Table2[[#This Row],[Date Created Conversion]])+1</f>
        <v>15</v>
      </c>
      <c r="Q994" t="b">
        <v>0</v>
      </c>
      <c r="R994" t="b">
        <v>1</v>
      </c>
      <c r="S994" t="s">
        <v>53</v>
      </c>
      <c r="T994" t="str">
        <f>_xlfn.TEXTBEFORE(Table2[[#This Row],[category &amp; sub-category]],"/")</f>
        <v>film &amp; video</v>
      </c>
      <c r="U994" t="str">
        <f>_xlfn.TEXTAFTER(Table2[[#This Row],[category &amp; sub-category]],"/")</f>
        <v>drama</v>
      </c>
    </row>
    <row r="995" spans="1:21" ht="17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5">
        <f>100*Table2[[#This Row],[pledged]]/Table2[[#This Row],[goal]]</f>
        <v>77.632653061224488</v>
      </c>
      <c r="G995" t="s">
        <v>74</v>
      </c>
      <c r="H995">
        <v>75</v>
      </c>
      <c r="I995" s="4">
        <f>IF(Table2[[#This Row],[pledged]]&gt;0,Table2[[#This Row],[pledged]]/Table2[[#This Row],[backers_count]],0)</f>
        <v>101.44</v>
      </c>
      <c r="J995" t="s">
        <v>107</v>
      </c>
      <c r="K995" t="s">
        <v>108</v>
      </c>
      <c r="L995">
        <v>1450936800</v>
      </c>
      <c r="M995">
        <v>1452405600</v>
      </c>
      <c r="N995" s="8">
        <f t="shared" si="30"/>
        <v>42362.25</v>
      </c>
      <c r="O995" s="8">
        <f t="shared" si="31"/>
        <v>42379.25</v>
      </c>
      <c r="P995" s="5">
        <f>_xlfn.DAYS(Table2[[#This Row],[Date Ended Conversion]],Table2[[#This Row],[Date Created Conversion]])+1</f>
        <v>18</v>
      </c>
      <c r="Q995" t="b">
        <v>0</v>
      </c>
      <c r="R995" t="b">
        <v>1</v>
      </c>
      <c r="S995" t="s">
        <v>122</v>
      </c>
      <c r="T995" t="str">
        <f>_xlfn.TEXTBEFORE(Table2[[#This Row],[category &amp; sub-category]],"/")</f>
        <v>photography</v>
      </c>
      <c r="U995" t="str">
        <f>_xlfn.TEXTAFTER(Table2[[#This Row],[category &amp; sub-category]],"/")</f>
        <v>photography books</v>
      </c>
    </row>
    <row r="996" spans="1:21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5">
        <f>100*Table2[[#This Row],[pledged]]/Table2[[#This Row],[goal]]</f>
        <v>52.496810772501775</v>
      </c>
      <c r="G996" t="s">
        <v>14</v>
      </c>
      <c r="H996">
        <v>842</v>
      </c>
      <c r="I996" s="4">
        <f>IF(Table2[[#This Row],[pledged]]&gt;0,Table2[[#This Row],[pledged]]/Table2[[#This Row],[backers_count]],0)</f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8">
        <f t="shared" si="30"/>
        <v>41929.208333333336</v>
      </c>
      <c r="O996" s="8">
        <f t="shared" si="31"/>
        <v>41935.208333333336</v>
      </c>
      <c r="P996" s="5">
        <f>_xlfn.DAYS(Table2[[#This Row],[Date Ended Conversion]],Table2[[#This Row],[Date Created Conversion]])+1</f>
        <v>7</v>
      </c>
      <c r="Q996" t="b">
        <v>0</v>
      </c>
      <c r="R996" t="b">
        <v>1</v>
      </c>
      <c r="S996" t="s">
        <v>206</v>
      </c>
      <c r="T996" t="str">
        <f>_xlfn.TEXTBEFORE(Table2[[#This Row],[category &amp; sub-category]],"/")</f>
        <v>publishing</v>
      </c>
      <c r="U996" t="str">
        <f>_xlfn.TEXTAFTER(Table2[[#This Row],[category &amp; sub-category]],"/")</f>
        <v>translations</v>
      </c>
    </row>
    <row r="997" spans="1:21" ht="17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5">
        <f>100*Table2[[#This Row],[pledged]]/Table2[[#This Row],[goal]]</f>
        <v>157.46762589928056</v>
      </c>
      <c r="G997" t="s">
        <v>20</v>
      </c>
      <c r="H997">
        <v>2043</v>
      </c>
      <c r="I997" s="4">
        <f>IF(Table2[[#This Row],[pledged]]&gt;0,Table2[[#This Row],[pledged]]/Table2[[#This Row],[backers_count]],0)</f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8">
        <f t="shared" si="30"/>
        <v>43408.208333333328</v>
      </c>
      <c r="O997" s="8">
        <f t="shared" si="31"/>
        <v>43437.25</v>
      </c>
      <c r="P997" s="5">
        <f>_xlfn.DAYS(Table2[[#This Row],[Date Ended Conversion]],Table2[[#This Row],[Date Created Conversion]])+1</f>
        <v>30</v>
      </c>
      <c r="Q997" t="b">
        <v>0</v>
      </c>
      <c r="R997" t="b">
        <v>1</v>
      </c>
      <c r="S997" t="s">
        <v>17</v>
      </c>
      <c r="T997" t="str">
        <f>_xlfn.TEXTBEFORE(Table2[[#This Row],[category &amp; sub-category]],"/")</f>
        <v>food</v>
      </c>
      <c r="U997" t="str">
        <f>_xlfn.TEXTAFTER(Table2[[#This Row],[category &amp; sub-category]],"/")</f>
        <v>food trucks</v>
      </c>
    </row>
    <row r="998" spans="1:21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5">
        <f>100*Table2[[#This Row],[pledged]]/Table2[[#This Row],[goal]]</f>
        <v>72.939393939393938</v>
      </c>
      <c r="G998" t="s">
        <v>14</v>
      </c>
      <c r="H998">
        <v>112</v>
      </c>
      <c r="I998" s="4">
        <f>IF(Table2[[#This Row],[pledged]]&gt;0,Table2[[#This Row],[pledged]]/Table2[[#This Row],[backers_count]],0)</f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8">
        <f t="shared" si="30"/>
        <v>41276.25</v>
      </c>
      <c r="O998" s="8">
        <f t="shared" si="31"/>
        <v>41306.25</v>
      </c>
      <c r="P998" s="5">
        <f>_xlfn.DAYS(Table2[[#This Row],[Date Ended Conversion]],Table2[[#This Row],[Date Created Conversion]])+1</f>
        <v>31</v>
      </c>
      <c r="Q998" t="b">
        <v>0</v>
      </c>
      <c r="R998" t="b">
        <v>0</v>
      </c>
      <c r="S998" t="s">
        <v>33</v>
      </c>
      <c r="T998" t="str">
        <f>_xlfn.TEXTBEFORE(Table2[[#This Row],[category &amp; sub-category]],"/")</f>
        <v>theater</v>
      </c>
      <c r="U998" t="str">
        <f>_xlfn.TEXTAFTER(Table2[[#This Row],[category &amp; sub-category]],"/")</f>
        <v>plays</v>
      </c>
    </row>
    <row r="999" spans="1:21" ht="17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5">
        <f>100*Table2[[#This Row],[pledged]]/Table2[[#This Row],[goal]]</f>
        <v>60.565789473684212</v>
      </c>
      <c r="G999" t="s">
        <v>74</v>
      </c>
      <c r="H999">
        <v>139</v>
      </c>
      <c r="I999" s="4">
        <f>IF(Table2[[#This Row],[pledged]]&gt;0,Table2[[#This Row],[pledged]]/Table2[[#This Row],[backers_count]],0)</f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8">
        <f t="shared" si="30"/>
        <v>41659.25</v>
      </c>
      <c r="O999" s="8">
        <f t="shared" si="31"/>
        <v>41664.25</v>
      </c>
      <c r="P999" s="5">
        <f>_xlfn.DAYS(Table2[[#This Row],[Date Ended Conversion]],Table2[[#This Row],[Date Created Conversion]])+1</f>
        <v>6</v>
      </c>
      <c r="Q999" t="b">
        <v>0</v>
      </c>
      <c r="R999" t="b">
        <v>0</v>
      </c>
      <c r="S999" t="s">
        <v>33</v>
      </c>
      <c r="T999" t="str">
        <f>_xlfn.TEXTBEFORE(Table2[[#This Row],[category &amp; sub-category]],"/")</f>
        <v>theater</v>
      </c>
      <c r="U999" t="str">
        <f>_xlfn.TEXTAFTER(Table2[[#This Row],[category &amp; sub-category]],"/")</f>
        <v>plays</v>
      </c>
    </row>
    <row r="1000" spans="1:21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5">
        <f>100*Table2[[#This Row],[pledged]]/Table2[[#This Row],[goal]]</f>
        <v>56.791291291291294</v>
      </c>
      <c r="G1000" t="s">
        <v>14</v>
      </c>
      <c r="H1000">
        <v>374</v>
      </c>
      <c r="I1000" s="4">
        <f>IF(Table2[[#This Row],[pledged]]&gt;0,Table2[[#This Row],[pledged]]/Table2[[#This Row],[backers_count]],0)</f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8">
        <f t="shared" si="30"/>
        <v>40220.25</v>
      </c>
      <c r="O1000" s="8">
        <f t="shared" si="31"/>
        <v>40234.25</v>
      </c>
      <c r="P1000" s="5">
        <f>_xlfn.DAYS(Table2[[#This Row],[Date Ended Conversion]],Table2[[#This Row],[Date Created Conversion]])+1</f>
        <v>15</v>
      </c>
      <c r="Q1000" t="b">
        <v>0</v>
      </c>
      <c r="R1000" t="b">
        <v>1</v>
      </c>
      <c r="S1000" t="s">
        <v>60</v>
      </c>
      <c r="T1000" t="str">
        <f>_xlfn.TEXTBEFORE(Table2[[#This Row],[category &amp; sub-category]],"/")</f>
        <v>music</v>
      </c>
      <c r="U1000" t="str">
        <f>_xlfn.TEXTAFTER(Table2[[#This Row],[category &amp; sub-category]],"/")</f>
        <v>indie rock</v>
      </c>
    </row>
    <row r="1001" spans="1:21" ht="17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5">
        <f>100*Table2[[#This Row],[pledged]]/Table2[[#This Row],[goal]]</f>
        <v>56.542754275427541</v>
      </c>
      <c r="G1001" t="s">
        <v>74</v>
      </c>
      <c r="H1001">
        <v>1122</v>
      </c>
      <c r="I1001" s="4">
        <f>IF(Table2[[#This Row],[pledged]]&gt;0,Table2[[#This Row],[pledged]]/Table2[[#This Row],[backers_count]],0)</f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8">
        <f t="shared" si="30"/>
        <v>42550.208333333328</v>
      </c>
      <c r="O1001" s="8">
        <f t="shared" si="31"/>
        <v>42557.208333333328</v>
      </c>
      <c r="P1001" s="5">
        <f>_xlfn.DAYS(Table2[[#This Row],[Date Ended Conversion]],Table2[[#This Row],[Date Created Conversion]])+1</f>
        <v>8</v>
      </c>
      <c r="Q1001" t="b">
        <v>0</v>
      </c>
      <c r="R1001" t="b">
        <v>0</v>
      </c>
      <c r="S1001" t="s">
        <v>17</v>
      </c>
      <c r="T1001" t="str">
        <f>_xlfn.TEXTBEFORE(Table2[[#This Row],[category &amp; sub-category]],"/")</f>
        <v>food</v>
      </c>
      <c r="U1001" t="str">
        <f>_xlfn.TEXTAFTER(Table2[[#This Row],[category &amp; sub-category]],"/")</f>
        <v>food trucks</v>
      </c>
    </row>
  </sheetData>
  <phoneticPr fontId="18" type="noConversion"/>
  <conditionalFormatting sqref="F1:F1048576">
    <cfRule type="colorScale" priority="1">
      <colorScale>
        <cfvo type="num" val="0"/>
        <cfvo type="num" val="100"/>
        <cfvo type="num" val="200"/>
        <color rgb="FFC00000"/>
        <color rgb="FF00B050"/>
        <color theme="4"/>
      </colorScale>
    </cfRule>
  </conditionalFormatting>
  <conditionalFormatting sqref="G1:G1048576">
    <cfRule type="containsText" dxfId="19" priority="3" stopIfTrue="1" operator="containsText" text="live">
      <formula>NOT(ISERROR(SEARCH("live",G1)))</formula>
    </cfRule>
    <cfRule type="containsText" dxfId="18" priority="4" stopIfTrue="1" operator="containsText" text="canceled">
      <formula>NOT(ISERROR(SEARCH("canceled",G1)))</formula>
    </cfRule>
    <cfRule type="containsText" dxfId="17" priority="5" operator="containsText" text="failed">
      <formula>NOT(ISERROR(SEARCH("failed",G1)))</formula>
    </cfRule>
    <cfRule type="containsText" dxfId="16" priority="6" operator="containsText" text="successful">
      <formula>NOT(ISERROR(SEARCH("successful",G1)))</formula>
    </cfRule>
  </conditionalFormatting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DA0B62-2FA7-9F4F-A250-D7DDD65E3CB4}">
  <sheetPr>
    <tabColor rgb="FFC00000"/>
  </sheetPr>
  <dimension ref="A1:F14"/>
  <sheetViews>
    <sheetView workbookViewId="0">
      <selection activeCell="E14" sqref="E14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  <col min="7" max="13" width="9.5" bestFit="1" customWidth="1"/>
    <col min="14" max="14" width="11.33203125" bestFit="1" customWidth="1"/>
    <col min="15" max="15" width="12" bestFit="1" customWidth="1"/>
    <col min="16" max="16" width="14.5" bestFit="1" customWidth="1"/>
    <col min="17" max="19" width="9.5" bestFit="1" customWidth="1"/>
    <col min="20" max="20" width="10.6640625" bestFit="1" customWidth="1"/>
    <col min="21" max="24" width="13.6640625" bestFit="1" customWidth="1"/>
    <col min="25" max="25" width="16.33203125" bestFit="1" customWidth="1"/>
    <col min="26" max="29" width="11.6640625" bestFit="1" customWidth="1"/>
    <col min="30" max="30" width="14.1640625" bestFit="1" customWidth="1"/>
    <col min="31" max="34" width="12.33203125" bestFit="1" customWidth="1"/>
    <col min="35" max="35" width="14.83203125" bestFit="1" customWidth="1"/>
    <col min="36" max="39" width="9.5" bestFit="1" customWidth="1"/>
    <col min="40" max="40" width="11.83203125" bestFit="1" customWidth="1"/>
  </cols>
  <sheetData>
    <row r="1" spans="1:6" x14ac:dyDescent="0.2">
      <c r="A1" s="6" t="s">
        <v>6</v>
      </c>
      <c r="B1" t="s">
        <v>2046</v>
      </c>
    </row>
    <row r="3" spans="1:6" x14ac:dyDescent="0.2">
      <c r="A3" s="6" t="s">
        <v>2033</v>
      </c>
      <c r="B3" s="6" t="s">
        <v>2045</v>
      </c>
    </row>
    <row r="4" spans="1:6" x14ac:dyDescent="0.2">
      <c r="A4" s="6" t="s">
        <v>2034</v>
      </c>
      <c r="B4" t="s">
        <v>74</v>
      </c>
      <c r="C4" t="s">
        <v>14</v>
      </c>
      <c r="D4" t="s">
        <v>47</v>
      </c>
      <c r="E4" t="s">
        <v>20</v>
      </c>
      <c r="F4" t="s">
        <v>2044</v>
      </c>
    </row>
    <row r="5" spans="1:6" x14ac:dyDescent="0.2">
      <c r="A5" s="7" t="s">
        <v>2035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">
      <c r="A6" s="7" t="s">
        <v>2036</v>
      </c>
      <c r="B6">
        <v>4</v>
      </c>
      <c r="C6">
        <v>20</v>
      </c>
      <c r="E6">
        <v>22</v>
      </c>
      <c r="F6">
        <v>46</v>
      </c>
    </row>
    <row r="7" spans="1:6" x14ac:dyDescent="0.2">
      <c r="A7" s="7" t="s">
        <v>2037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">
      <c r="A8" s="7" t="s">
        <v>2038</v>
      </c>
      <c r="E8">
        <v>4</v>
      </c>
      <c r="F8">
        <v>4</v>
      </c>
    </row>
    <row r="9" spans="1:6" x14ac:dyDescent="0.2">
      <c r="A9" s="7" t="s">
        <v>2039</v>
      </c>
      <c r="B9">
        <v>10</v>
      </c>
      <c r="C9">
        <v>66</v>
      </c>
      <c r="E9">
        <v>99</v>
      </c>
      <c r="F9">
        <v>175</v>
      </c>
    </row>
    <row r="10" spans="1:6" x14ac:dyDescent="0.2">
      <c r="A10" s="7" t="s">
        <v>2040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">
      <c r="A11" s="7" t="s">
        <v>2041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">
      <c r="A12" s="7" t="s">
        <v>2042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">
      <c r="A13" s="7" t="s">
        <v>2043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">
      <c r="A14" s="7" t="s">
        <v>2044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1C83F-5546-5C4A-B7AD-6EAFD6B655C1}">
  <sheetPr>
    <tabColor rgb="FFC00000"/>
  </sheetPr>
  <dimension ref="A1:F30"/>
  <sheetViews>
    <sheetView workbookViewId="0">
      <selection activeCell="P19" sqref="P19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  <col min="7" max="13" width="9.5" bestFit="1" customWidth="1"/>
    <col min="14" max="14" width="11.33203125" bestFit="1" customWidth="1"/>
    <col min="15" max="15" width="12" bestFit="1" customWidth="1"/>
    <col min="16" max="16" width="14.5" bestFit="1" customWidth="1"/>
    <col min="17" max="19" width="9.5" bestFit="1" customWidth="1"/>
    <col min="20" max="20" width="10.6640625" bestFit="1" customWidth="1"/>
    <col min="21" max="24" width="13.6640625" bestFit="1" customWidth="1"/>
    <col min="25" max="25" width="16.33203125" bestFit="1" customWidth="1"/>
    <col min="26" max="29" width="11.6640625" bestFit="1" customWidth="1"/>
    <col min="30" max="30" width="14.1640625" bestFit="1" customWidth="1"/>
    <col min="31" max="34" width="12.33203125" bestFit="1" customWidth="1"/>
    <col min="35" max="35" width="14.83203125" bestFit="1" customWidth="1"/>
    <col min="36" max="39" width="9.5" bestFit="1" customWidth="1"/>
    <col min="40" max="40" width="11.83203125" bestFit="1" customWidth="1"/>
  </cols>
  <sheetData>
    <row r="1" spans="1:6" x14ac:dyDescent="0.2">
      <c r="A1" s="6" t="s">
        <v>6</v>
      </c>
      <c r="B1" t="s">
        <v>2046</v>
      </c>
    </row>
    <row r="2" spans="1:6" x14ac:dyDescent="0.2">
      <c r="A2" s="6" t="s">
        <v>2031</v>
      </c>
      <c r="B2" t="s">
        <v>2046</v>
      </c>
    </row>
    <row r="4" spans="1:6" x14ac:dyDescent="0.2">
      <c r="A4" s="6" t="s">
        <v>2033</v>
      </c>
      <c r="B4" s="6" t="s">
        <v>2045</v>
      </c>
    </row>
    <row r="5" spans="1:6" x14ac:dyDescent="0.2">
      <c r="A5" s="6" t="s">
        <v>2034</v>
      </c>
      <c r="B5" t="s">
        <v>74</v>
      </c>
      <c r="C5" t="s">
        <v>14</v>
      </c>
      <c r="D5" t="s">
        <v>47</v>
      </c>
      <c r="E5" t="s">
        <v>20</v>
      </c>
      <c r="F5" t="s">
        <v>2044</v>
      </c>
    </row>
    <row r="6" spans="1:6" x14ac:dyDescent="0.2">
      <c r="A6" s="7" t="s">
        <v>2047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">
      <c r="A7" s="7" t="s">
        <v>2056</v>
      </c>
      <c r="E7">
        <v>4</v>
      </c>
      <c r="F7">
        <v>4</v>
      </c>
    </row>
    <row r="8" spans="1:6" x14ac:dyDescent="0.2">
      <c r="A8" s="7" t="s">
        <v>2048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">
      <c r="A9" s="7" t="s">
        <v>2049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">
      <c r="A10" s="7" t="s">
        <v>2057</v>
      </c>
      <c r="C10">
        <v>8</v>
      </c>
      <c r="E10">
        <v>10</v>
      </c>
      <c r="F10">
        <v>18</v>
      </c>
    </row>
    <row r="11" spans="1:6" x14ac:dyDescent="0.2">
      <c r="A11" s="7" t="s">
        <v>2064</v>
      </c>
      <c r="B11">
        <v>1</v>
      </c>
      <c r="C11">
        <v>7</v>
      </c>
      <c r="E11">
        <v>9</v>
      </c>
      <c r="F11">
        <v>17</v>
      </c>
    </row>
    <row r="12" spans="1:6" x14ac:dyDescent="0.2">
      <c r="A12" s="7" t="s">
        <v>2053</v>
      </c>
      <c r="B12">
        <v>4</v>
      </c>
      <c r="C12">
        <v>20</v>
      </c>
      <c r="E12">
        <v>22</v>
      </c>
      <c r="F12">
        <v>46</v>
      </c>
    </row>
    <row r="13" spans="1:6" x14ac:dyDescent="0.2">
      <c r="A13" s="7" t="s">
        <v>2058</v>
      </c>
      <c r="B13">
        <v>3</v>
      </c>
      <c r="C13">
        <v>19</v>
      </c>
      <c r="E13">
        <v>23</v>
      </c>
      <c r="F13">
        <v>45</v>
      </c>
    </row>
    <row r="14" spans="1:6" x14ac:dyDescent="0.2">
      <c r="A14" s="7" t="s">
        <v>2059</v>
      </c>
      <c r="B14">
        <v>1</v>
      </c>
      <c r="C14">
        <v>6</v>
      </c>
      <c r="E14">
        <v>10</v>
      </c>
      <c r="F14">
        <v>17</v>
      </c>
    </row>
    <row r="15" spans="1:6" x14ac:dyDescent="0.2">
      <c r="A15" s="7" t="s">
        <v>2060</v>
      </c>
      <c r="C15">
        <v>3</v>
      </c>
      <c r="E15">
        <v>4</v>
      </c>
      <c r="F15">
        <v>7</v>
      </c>
    </row>
    <row r="16" spans="1:6" x14ac:dyDescent="0.2">
      <c r="A16" s="7" t="s">
        <v>2054</v>
      </c>
      <c r="C16">
        <v>8</v>
      </c>
      <c r="D16">
        <v>1</v>
      </c>
      <c r="E16">
        <v>4</v>
      </c>
      <c r="F16">
        <v>13</v>
      </c>
    </row>
    <row r="17" spans="1:6" x14ac:dyDescent="0.2">
      <c r="A17" s="7" t="s">
        <v>2065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">
      <c r="A18" s="7" t="s">
        <v>2063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">
      <c r="A19" s="7" t="s">
        <v>2070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">
      <c r="A20" s="7" t="s">
        <v>2066</v>
      </c>
      <c r="C20">
        <v>4</v>
      </c>
      <c r="E20">
        <v>4</v>
      </c>
      <c r="F20">
        <v>8</v>
      </c>
    </row>
    <row r="21" spans="1:6" x14ac:dyDescent="0.2">
      <c r="A21" s="7" t="s">
        <v>2061</v>
      </c>
      <c r="B21">
        <v>6</v>
      </c>
      <c r="C21">
        <v>30</v>
      </c>
      <c r="E21">
        <v>49</v>
      </c>
      <c r="F21">
        <v>85</v>
      </c>
    </row>
    <row r="22" spans="1:6" x14ac:dyDescent="0.2">
      <c r="A22" s="7" t="s">
        <v>2050</v>
      </c>
      <c r="C22">
        <v>9</v>
      </c>
      <c r="E22">
        <v>5</v>
      </c>
      <c r="F22">
        <v>14</v>
      </c>
    </row>
    <row r="23" spans="1:6" x14ac:dyDescent="0.2">
      <c r="A23" s="7" t="s">
        <v>2051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">
      <c r="A24" s="7" t="s">
        <v>2052</v>
      </c>
      <c r="B24">
        <v>3</v>
      </c>
      <c r="C24">
        <v>3</v>
      </c>
      <c r="E24">
        <v>11</v>
      </c>
      <c r="F24">
        <v>17</v>
      </c>
    </row>
    <row r="25" spans="1:6" x14ac:dyDescent="0.2">
      <c r="A25" s="7" t="s">
        <v>2067</v>
      </c>
      <c r="C25">
        <v>7</v>
      </c>
      <c r="E25">
        <v>14</v>
      </c>
      <c r="F25">
        <v>21</v>
      </c>
    </row>
    <row r="26" spans="1:6" x14ac:dyDescent="0.2">
      <c r="A26" s="7" t="s">
        <v>2055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">
      <c r="A27" s="7" t="s">
        <v>2068</v>
      </c>
      <c r="C27">
        <v>16</v>
      </c>
      <c r="D27">
        <v>1</v>
      </c>
      <c r="E27">
        <v>28</v>
      </c>
      <c r="F27">
        <v>45</v>
      </c>
    </row>
    <row r="28" spans="1:6" x14ac:dyDescent="0.2">
      <c r="A28" s="7" t="s">
        <v>2069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">
      <c r="A29" s="7" t="s">
        <v>2062</v>
      </c>
      <c r="E29">
        <v>3</v>
      </c>
      <c r="F29">
        <v>3</v>
      </c>
    </row>
    <row r="30" spans="1:6" x14ac:dyDescent="0.2">
      <c r="A30" s="7" t="s">
        <v>2044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7E1AF-F33A-B54C-ABAB-FC360D1ED756}">
  <sheetPr>
    <tabColor rgb="FFC00000"/>
  </sheetPr>
  <dimension ref="A1:E18"/>
  <sheetViews>
    <sheetView workbookViewId="0">
      <selection activeCell="B15" sqref="B15"/>
    </sheetView>
  </sheetViews>
  <sheetFormatPr baseColWidth="10" defaultRowHeight="16" x14ac:dyDescent="0.2"/>
  <cols>
    <col min="1" max="1" width="28" bestFit="1" customWidth="1"/>
    <col min="2" max="2" width="15.5" bestFit="1" customWidth="1"/>
    <col min="3" max="3" width="5.83203125" bestFit="1" customWidth="1"/>
    <col min="4" max="4" width="9.5" bestFit="1" customWidth="1"/>
    <col min="5" max="5" width="10.83203125" bestFit="1" customWidth="1"/>
  </cols>
  <sheetData>
    <row r="1" spans="1:5" x14ac:dyDescent="0.2">
      <c r="A1" s="6" t="s">
        <v>2031</v>
      </c>
      <c r="B1" t="s">
        <v>2046</v>
      </c>
    </row>
    <row r="2" spans="1:5" x14ac:dyDescent="0.2">
      <c r="A2" s="6" t="s">
        <v>2085</v>
      </c>
      <c r="B2" t="s">
        <v>2046</v>
      </c>
    </row>
    <row r="4" spans="1:5" x14ac:dyDescent="0.2">
      <c r="A4" s="6" t="s">
        <v>2033</v>
      </c>
      <c r="B4" s="6" t="s">
        <v>2045</v>
      </c>
    </row>
    <row r="5" spans="1:5" x14ac:dyDescent="0.2">
      <c r="A5" s="6" t="s">
        <v>2034</v>
      </c>
      <c r="B5" t="s">
        <v>74</v>
      </c>
      <c r="C5" t="s">
        <v>14</v>
      </c>
      <c r="D5" t="s">
        <v>20</v>
      </c>
      <c r="E5" t="s">
        <v>2044</v>
      </c>
    </row>
    <row r="6" spans="1:5" x14ac:dyDescent="0.2">
      <c r="A6" s="7" t="s">
        <v>2073</v>
      </c>
      <c r="B6">
        <v>6</v>
      </c>
      <c r="C6">
        <v>36</v>
      </c>
      <c r="D6">
        <v>49</v>
      </c>
      <c r="E6">
        <v>91</v>
      </c>
    </row>
    <row r="7" spans="1:5" x14ac:dyDescent="0.2">
      <c r="A7" s="7" t="s">
        <v>2074</v>
      </c>
      <c r="B7">
        <v>7</v>
      </c>
      <c r="C7">
        <v>28</v>
      </c>
      <c r="D7">
        <v>44</v>
      </c>
      <c r="E7">
        <v>79</v>
      </c>
    </row>
    <row r="8" spans="1:5" x14ac:dyDescent="0.2">
      <c r="A8" s="7" t="s">
        <v>2075</v>
      </c>
      <c r="B8">
        <v>4</v>
      </c>
      <c r="C8">
        <v>33</v>
      </c>
      <c r="D8">
        <v>49</v>
      </c>
      <c r="E8">
        <v>86</v>
      </c>
    </row>
    <row r="9" spans="1:5" x14ac:dyDescent="0.2">
      <c r="A9" s="7" t="s">
        <v>2076</v>
      </c>
      <c r="B9">
        <v>1</v>
      </c>
      <c r="C9">
        <v>30</v>
      </c>
      <c r="D9">
        <v>46</v>
      </c>
      <c r="E9">
        <v>77</v>
      </c>
    </row>
    <row r="10" spans="1:5" x14ac:dyDescent="0.2">
      <c r="A10" s="7" t="s">
        <v>2077</v>
      </c>
      <c r="B10">
        <v>3</v>
      </c>
      <c r="C10">
        <v>35</v>
      </c>
      <c r="D10">
        <v>46</v>
      </c>
      <c r="E10">
        <v>84</v>
      </c>
    </row>
    <row r="11" spans="1:5" x14ac:dyDescent="0.2">
      <c r="A11" s="7" t="s">
        <v>2078</v>
      </c>
      <c r="B11">
        <v>3</v>
      </c>
      <c r="C11">
        <v>28</v>
      </c>
      <c r="D11">
        <v>55</v>
      </c>
      <c r="E11">
        <v>86</v>
      </c>
    </row>
    <row r="12" spans="1:5" x14ac:dyDescent="0.2">
      <c r="A12" s="7" t="s">
        <v>2079</v>
      </c>
      <c r="B12">
        <v>4</v>
      </c>
      <c r="C12">
        <v>31</v>
      </c>
      <c r="D12">
        <v>58</v>
      </c>
      <c r="E12">
        <v>93</v>
      </c>
    </row>
    <row r="13" spans="1:5" x14ac:dyDescent="0.2">
      <c r="A13" s="7" t="s">
        <v>2080</v>
      </c>
      <c r="B13">
        <v>8</v>
      </c>
      <c r="C13">
        <v>35</v>
      </c>
      <c r="D13">
        <v>41</v>
      </c>
      <c r="E13">
        <v>84</v>
      </c>
    </row>
    <row r="14" spans="1:5" x14ac:dyDescent="0.2">
      <c r="A14" s="7" t="s">
        <v>2081</v>
      </c>
      <c r="B14">
        <v>5</v>
      </c>
      <c r="C14">
        <v>23</v>
      </c>
      <c r="D14">
        <v>45</v>
      </c>
      <c r="E14">
        <v>73</v>
      </c>
    </row>
    <row r="15" spans="1:5" x14ac:dyDescent="0.2">
      <c r="A15" s="7" t="s">
        <v>2082</v>
      </c>
      <c r="B15">
        <v>6</v>
      </c>
      <c r="C15">
        <v>26</v>
      </c>
      <c r="D15">
        <v>45</v>
      </c>
      <c r="E15">
        <v>77</v>
      </c>
    </row>
    <row r="16" spans="1:5" x14ac:dyDescent="0.2">
      <c r="A16" s="7" t="s">
        <v>2083</v>
      </c>
      <c r="B16">
        <v>3</v>
      </c>
      <c r="C16">
        <v>27</v>
      </c>
      <c r="D16">
        <v>45</v>
      </c>
      <c r="E16">
        <v>75</v>
      </c>
    </row>
    <row r="17" spans="1:5" x14ac:dyDescent="0.2">
      <c r="A17" s="7" t="s">
        <v>2084</v>
      </c>
      <c r="B17">
        <v>7</v>
      </c>
      <c r="C17">
        <v>32</v>
      </c>
      <c r="D17">
        <v>42</v>
      </c>
      <c r="E17">
        <v>81</v>
      </c>
    </row>
    <row r="18" spans="1:5" x14ac:dyDescent="0.2">
      <c r="A18" s="7" t="s">
        <v>2044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B13D9-69B2-7E4F-996F-73431049C283}">
  <sheetPr>
    <tabColor rgb="FFC00000"/>
  </sheetPr>
  <dimension ref="A1:H13"/>
  <sheetViews>
    <sheetView workbookViewId="0">
      <selection activeCell="G36" sqref="G36"/>
    </sheetView>
  </sheetViews>
  <sheetFormatPr baseColWidth="10" defaultRowHeight="16" x14ac:dyDescent="0.2"/>
  <cols>
    <col min="1" max="1" width="27" bestFit="1" customWidth="1"/>
    <col min="2" max="2" width="19.1640625" customWidth="1"/>
    <col min="3" max="3" width="15.6640625" customWidth="1"/>
    <col min="4" max="4" width="18" customWidth="1"/>
    <col min="5" max="5" width="14.6640625" customWidth="1"/>
    <col min="6" max="6" width="21.6640625" customWidth="1"/>
    <col min="7" max="7" width="18.1640625" customWidth="1"/>
    <col min="8" max="8" width="20.5" customWidth="1"/>
  </cols>
  <sheetData>
    <row r="1" spans="1:8" x14ac:dyDescent="0.2">
      <c r="A1" t="s">
        <v>2086</v>
      </c>
      <c r="B1" t="s">
        <v>2087</v>
      </c>
      <c r="C1" t="s">
        <v>2088</v>
      </c>
      <c r="D1" t="s">
        <v>2089</v>
      </c>
      <c r="E1" t="s">
        <v>2090</v>
      </c>
      <c r="F1" t="s">
        <v>2091</v>
      </c>
      <c r="G1" t="s">
        <v>2092</v>
      </c>
      <c r="H1" t="s">
        <v>2093</v>
      </c>
    </row>
    <row r="2" spans="1:8" x14ac:dyDescent="0.2">
      <c r="A2" t="s">
        <v>2094</v>
      </c>
      <c r="B2">
        <f>COUNTIFS(Table2[outcome],"successful",Table2[goal],"&lt;1000")</f>
        <v>30</v>
      </c>
      <c r="C2">
        <f>COUNTIFS(Table2[outcome],"failed",Table2[goal],"&lt;1000")</f>
        <v>20</v>
      </c>
      <c r="D2">
        <f>COUNTIFS(Table2[outcome],"canceled",Table2[goal],"&lt;1000")</f>
        <v>1</v>
      </c>
      <c r="E2">
        <f>SUM(B2:D2)</f>
        <v>51</v>
      </c>
      <c r="F2" s="9">
        <f>B2/E2</f>
        <v>0.58823529411764708</v>
      </c>
      <c r="G2" s="9">
        <f>C2/E2</f>
        <v>0.39215686274509803</v>
      </c>
      <c r="H2" s="9">
        <f>D2/E2</f>
        <v>1.9607843137254902E-2</v>
      </c>
    </row>
    <row r="3" spans="1:8" x14ac:dyDescent="0.2">
      <c r="A3" t="s">
        <v>2095</v>
      </c>
      <c r="B3">
        <f>COUNTIFS(Table2[outcome],"successful",Table2[goal],"&gt;=1000",Table2[goal],"&lt;5000")</f>
        <v>191</v>
      </c>
      <c r="C3">
        <f>COUNTIFS(Table2[outcome],"failed",Table2[goal],"&gt;=1000",Table2[goal],"&lt;5000")</f>
        <v>38</v>
      </c>
      <c r="D3">
        <f>COUNTIFS(Table2[outcome],"canceled",Table2[goal],"&gt;=1000",Table2[goal],"&lt;5000")</f>
        <v>2</v>
      </c>
      <c r="E3">
        <f t="shared" ref="E3:E13" si="0">SUM(B3:D3)</f>
        <v>231</v>
      </c>
      <c r="F3" s="9">
        <f t="shared" ref="F3:F13" si="1">B3/E3</f>
        <v>0.82683982683982682</v>
      </c>
      <c r="G3" s="9">
        <f t="shared" ref="G3:G13" si="2">C3/E3</f>
        <v>0.16450216450216451</v>
      </c>
      <c r="H3" s="9">
        <f t="shared" ref="H3:H13" si="3">D3/E3</f>
        <v>8.658008658008658E-3</v>
      </c>
    </row>
    <row r="4" spans="1:8" x14ac:dyDescent="0.2">
      <c r="A4" t="s">
        <v>2096</v>
      </c>
      <c r="B4">
        <f>COUNTIFS(Table2[outcome],"successful",Table2[goal],"&gt;=5000",Table2[goal],"&lt;10000")</f>
        <v>164</v>
      </c>
      <c r="C4">
        <f>COUNTIFS(Table2[outcome],"failed",Table2[goal],"&gt;=5000",Table2[goal],"&lt;10000")</f>
        <v>126</v>
      </c>
      <c r="D4">
        <f>COUNTIFS(Table2[outcome],"canceled",Table2[goal],"&gt;=5000",Table2[goal],"&lt;10000")</f>
        <v>25</v>
      </c>
      <c r="E4">
        <f t="shared" si="0"/>
        <v>315</v>
      </c>
      <c r="F4" s="9">
        <f t="shared" si="1"/>
        <v>0.52063492063492067</v>
      </c>
      <c r="G4" s="9">
        <f t="shared" si="2"/>
        <v>0.4</v>
      </c>
      <c r="H4" s="9">
        <f t="shared" si="3"/>
        <v>7.9365079365079361E-2</v>
      </c>
    </row>
    <row r="5" spans="1:8" x14ac:dyDescent="0.2">
      <c r="A5" t="s">
        <v>2097</v>
      </c>
      <c r="B5">
        <f>COUNTIFS(Table2[outcome],"successful",Table2[goal],"&gt;=10000",Table2[goal],"&lt;15000")</f>
        <v>4</v>
      </c>
      <c r="C5">
        <f>COUNTIFS(Table2[outcome],"failed",Table2[goal],"&gt;=10000",Table2[goal],"&lt;15000")</f>
        <v>5</v>
      </c>
      <c r="D5">
        <f>COUNTIFS(Table2[outcome],"canceled",Table2[goal],"&gt;=10000",Table2[goal],"&lt;15000")</f>
        <v>0</v>
      </c>
      <c r="E5">
        <f t="shared" si="0"/>
        <v>9</v>
      </c>
      <c r="F5" s="9">
        <f t="shared" si="1"/>
        <v>0.44444444444444442</v>
      </c>
      <c r="G5" s="9">
        <f t="shared" si="2"/>
        <v>0.55555555555555558</v>
      </c>
      <c r="H5" s="9">
        <f t="shared" si="3"/>
        <v>0</v>
      </c>
    </row>
    <row r="6" spans="1:8" x14ac:dyDescent="0.2">
      <c r="A6" t="s">
        <v>2098</v>
      </c>
      <c r="B6">
        <f>COUNTIFS(Table2[outcome],"successful",Table2[goal],"&gt;=15000",Table2[goal],"&lt;20000")</f>
        <v>10</v>
      </c>
      <c r="C6">
        <f>COUNTIFS(Table2[outcome],"failed",Table2[goal],"&gt;=15000",Table2[goal],"&lt;20000")</f>
        <v>0</v>
      </c>
      <c r="D6">
        <f>COUNTIFS(Table2[outcome],"canceled",Table2[goal],"&gt;=15000",Table2[goal],"&lt;20000")</f>
        <v>0</v>
      </c>
      <c r="E6">
        <f t="shared" si="0"/>
        <v>10</v>
      </c>
      <c r="F6" s="9">
        <f t="shared" si="1"/>
        <v>1</v>
      </c>
      <c r="G6" s="9">
        <f t="shared" si="2"/>
        <v>0</v>
      </c>
      <c r="H6" s="9">
        <f t="shared" si="3"/>
        <v>0</v>
      </c>
    </row>
    <row r="7" spans="1:8" x14ac:dyDescent="0.2">
      <c r="A7" t="s">
        <v>2099</v>
      </c>
      <c r="B7">
        <f>COUNTIFS(Table2[outcome],"successful",Table2[goal],"&gt;=20000",Table2[goal],"&lt;25000")</f>
        <v>7</v>
      </c>
      <c r="C7">
        <f>COUNTIFS(Table2[outcome],"failed",Table2[goal],"&gt;=20000",Table2[goal],"&lt;25000")</f>
        <v>0</v>
      </c>
      <c r="D7">
        <f>COUNTIFS(Table2[outcome],"canceled",Table2[goal],"&gt;=20000",Table2[goal],"&lt;25000")</f>
        <v>0</v>
      </c>
      <c r="E7">
        <f t="shared" si="0"/>
        <v>7</v>
      </c>
      <c r="F7" s="9">
        <f t="shared" si="1"/>
        <v>1</v>
      </c>
      <c r="G7" s="9">
        <f t="shared" si="2"/>
        <v>0</v>
      </c>
      <c r="H7" s="9">
        <f t="shared" si="3"/>
        <v>0</v>
      </c>
    </row>
    <row r="8" spans="1:8" x14ac:dyDescent="0.2">
      <c r="A8" t="s">
        <v>2100</v>
      </c>
      <c r="B8">
        <f>COUNTIFS(Table2[outcome],"successful",Table2[goal],"&gt;=25000",Table2[goal],"&lt;30000")</f>
        <v>11</v>
      </c>
      <c r="C8">
        <f>COUNTIFS(Table2[outcome],"failed",Table2[goal],"&gt;=25000",Table2[goal],"&lt;30000")</f>
        <v>3</v>
      </c>
      <c r="D8">
        <f>COUNTIFS(Table2[outcome],"canceled",Table2[goal],"&gt;=25000",Table2[goal],"&lt;30000")</f>
        <v>0</v>
      </c>
      <c r="E8">
        <f t="shared" si="0"/>
        <v>14</v>
      </c>
      <c r="F8" s="9">
        <f t="shared" si="1"/>
        <v>0.7857142857142857</v>
      </c>
      <c r="G8" s="9">
        <f t="shared" si="2"/>
        <v>0.21428571428571427</v>
      </c>
      <c r="H8" s="9">
        <f t="shared" si="3"/>
        <v>0</v>
      </c>
    </row>
    <row r="9" spans="1:8" x14ac:dyDescent="0.2">
      <c r="A9" t="s">
        <v>2101</v>
      </c>
      <c r="B9">
        <f>COUNTIFS(Table2[outcome],"successful",Table2[goal],"&gt;=30000",Table2[goal],"&lt;35000")</f>
        <v>7</v>
      </c>
      <c r="C9">
        <f>COUNTIFS(Table2[outcome],"failed",Table2[goal],"&gt;=30000",Table2[goal],"&lt;35000")</f>
        <v>0</v>
      </c>
      <c r="D9">
        <f>COUNTIFS(Table2[outcome],"canceled",Table2[goal],"&gt;=30000",Table2[goal],"&lt;35000")</f>
        <v>0</v>
      </c>
      <c r="E9">
        <f t="shared" si="0"/>
        <v>7</v>
      </c>
      <c r="F9" s="9">
        <f t="shared" si="1"/>
        <v>1</v>
      </c>
      <c r="G9" s="9">
        <f t="shared" si="2"/>
        <v>0</v>
      </c>
      <c r="H9" s="9">
        <f t="shared" si="3"/>
        <v>0</v>
      </c>
    </row>
    <row r="10" spans="1:8" x14ac:dyDescent="0.2">
      <c r="A10" t="s">
        <v>2102</v>
      </c>
      <c r="B10">
        <f>COUNTIFS(Table2[outcome],"successful",Table2[goal],"&gt;=35000",Table2[goal],"&lt;40000")</f>
        <v>8</v>
      </c>
      <c r="C10">
        <f>COUNTIFS(Table2[outcome],"failed",Table2[goal],"&gt;=35000",Table2[goal],"&lt;40000")</f>
        <v>3</v>
      </c>
      <c r="D10">
        <f>COUNTIFS(Table2[outcome],"canceled",Table2[goal],"&gt;=35000",Table2[goal],"&lt;40000")</f>
        <v>1</v>
      </c>
      <c r="E10">
        <f t="shared" si="0"/>
        <v>12</v>
      </c>
      <c r="F10" s="9">
        <f t="shared" si="1"/>
        <v>0.66666666666666663</v>
      </c>
      <c r="G10" s="9">
        <f t="shared" si="2"/>
        <v>0.25</v>
      </c>
      <c r="H10" s="9">
        <f t="shared" si="3"/>
        <v>8.3333333333333329E-2</v>
      </c>
    </row>
    <row r="11" spans="1:8" x14ac:dyDescent="0.2">
      <c r="A11" t="s">
        <v>2103</v>
      </c>
      <c r="B11">
        <f>COUNTIFS(Table2[outcome],"successful",Table2[goal],"&gt;=40000",Table2[goal],"&lt;45000")</f>
        <v>11</v>
      </c>
      <c r="C11">
        <f>COUNTIFS(Table2[outcome],"failed",Table2[goal],"&gt;=40000",Table2[goal],"&lt;45000")</f>
        <v>3</v>
      </c>
      <c r="D11">
        <f>COUNTIFS(Table2[outcome],"canceled",Table2[goal],"&gt;=40000",Table2[goal],"&lt;45000")</f>
        <v>0</v>
      </c>
      <c r="E11">
        <f t="shared" si="0"/>
        <v>14</v>
      </c>
      <c r="F11" s="9">
        <f t="shared" si="1"/>
        <v>0.7857142857142857</v>
      </c>
      <c r="G11" s="9">
        <f t="shared" si="2"/>
        <v>0.21428571428571427</v>
      </c>
      <c r="H11" s="9">
        <f t="shared" si="3"/>
        <v>0</v>
      </c>
    </row>
    <row r="12" spans="1:8" x14ac:dyDescent="0.2">
      <c r="A12" t="s">
        <v>2104</v>
      </c>
      <c r="B12">
        <f>COUNTIFS(Table2[outcome],"successful",Table2[goal],"&gt;=45000",Table2[goal],"&lt;50000")</f>
        <v>8</v>
      </c>
      <c r="C12">
        <f>COUNTIFS(Table2[outcome],"failed",Table2[goal],"&gt;=45000",Table2[goal],"&lt;50000")</f>
        <v>3</v>
      </c>
      <c r="D12">
        <f>COUNTIFS(Table2[outcome],"canceled",Table2[goal],"&gt;=45000",Table2[goal],"&lt;50000")</f>
        <v>0</v>
      </c>
      <c r="E12">
        <f t="shared" si="0"/>
        <v>11</v>
      </c>
      <c r="F12" s="9">
        <f t="shared" si="1"/>
        <v>0.72727272727272729</v>
      </c>
      <c r="G12" s="9">
        <f t="shared" si="2"/>
        <v>0.27272727272727271</v>
      </c>
      <c r="H12" s="9">
        <f t="shared" si="3"/>
        <v>0</v>
      </c>
    </row>
    <row r="13" spans="1:8" x14ac:dyDescent="0.2">
      <c r="A13" t="s">
        <v>2105</v>
      </c>
      <c r="B13">
        <f>COUNTIFS(Table2[outcome],"successful",Table2[goal],"&gt;=50000")</f>
        <v>114</v>
      </c>
      <c r="C13">
        <f>COUNTIFS(Table2[outcome],"failed",Table2[goal],"&gt;=50000")</f>
        <v>163</v>
      </c>
      <c r="D13">
        <f>COUNTIFS(Table2[outcome],"canceled",Table2[goal],"&gt;=50000")</f>
        <v>28</v>
      </c>
      <c r="E13">
        <f t="shared" si="0"/>
        <v>305</v>
      </c>
      <c r="F13" s="9">
        <f t="shared" si="1"/>
        <v>0.3737704918032787</v>
      </c>
      <c r="G13" s="9">
        <f t="shared" si="2"/>
        <v>0.53442622950819674</v>
      </c>
      <c r="H13" s="9">
        <f t="shared" si="3"/>
        <v>9.1803278688524587E-2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41B70-AAD8-5E46-842E-E30BDF916C40}">
  <sheetPr>
    <tabColor rgb="FFC00000"/>
  </sheetPr>
  <dimension ref="A1:L566"/>
  <sheetViews>
    <sheetView tabSelected="1" topLeftCell="D1" workbookViewId="0">
      <selection activeCell="J14" sqref="J14"/>
    </sheetView>
  </sheetViews>
  <sheetFormatPr baseColWidth="10" defaultRowHeight="16" x14ac:dyDescent="0.2"/>
  <cols>
    <col min="1" max="1" width="9.5" bestFit="1" customWidth="1"/>
    <col min="2" max="2" width="13" bestFit="1" customWidth="1"/>
    <col min="4" max="4" width="8.33203125" bestFit="1" customWidth="1"/>
    <col min="5" max="5" width="13" bestFit="1" customWidth="1"/>
    <col min="8" max="8" width="38.6640625" customWidth="1"/>
  </cols>
  <sheetData>
    <row r="1" spans="1:12" x14ac:dyDescent="0.2">
      <c r="A1" s="1" t="s">
        <v>4</v>
      </c>
      <c r="B1" s="1" t="s">
        <v>5</v>
      </c>
      <c r="D1" s="1" t="s">
        <v>4</v>
      </c>
      <c r="E1" s="1" t="s">
        <v>5</v>
      </c>
    </row>
    <row r="2" spans="1:12" x14ac:dyDescent="0.2">
      <c r="A2" t="s">
        <v>20</v>
      </c>
      <c r="B2">
        <v>158</v>
      </c>
      <c r="D2" t="s">
        <v>14</v>
      </c>
      <c r="E2">
        <v>0</v>
      </c>
      <c r="I2" s="16" t="s">
        <v>4</v>
      </c>
      <c r="J2" s="17"/>
    </row>
    <row r="3" spans="1:12" x14ac:dyDescent="0.2">
      <c r="A3" t="s">
        <v>20</v>
      </c>
      <c r="B3">
        <v>1425</v>
      </c>
      <c r="D3" t="s">
        <v>14</v>
      </c>
      <c r="E3">
        <v>24</v>
      </c>
      <c r="I3" t="s">
        <v>20</v>
      </c>
      <c r="J3" t="s">
        <v>14</v>
      </c>
    </row>
    <row r="4" spans="1:12" x14ac:dyDescent="0.2">
      <c r="A4" t="s">
        <v>20</v>
      </c>
      <c r="B4">
        <v>174</v>
      </c>
      <c r="D4" t="s">
        <v>14</v>
      </c>
      <c r="E4">
        <v>53</v>
      </c>
      <c r="H4" s="11" t="s">
        <v>2109</v>
      </c>
      <c r="I4" s="10">
        <f>AVERAGE(B:B)</f>
        <v>851.14690265486729</v>
      </c>
      <c r="J4" s="10">
        <f>AVERAGE(E:E)</f>
        <v>585.61538461538464</v>
      </c>
    </row>
    <row r="5" spans="1:12" x14ac:dyDescent="0.2">
      <c r="A5" t="s">
        <v>20</v>
      </c>
      <c r="B5">
        <v>227</v>
      </c>
      <c r="D5" t="s">
        <v>14</v>
      </c>
      <c r="E5">
        <v>18</v>
      </c>
      <c r="H5" s="11" t="s">
        <v>2108</v>
      </c>
      <c r="I5">
        <f>MEDIAN(B:B)</f>
        <v>201</v>
      </c>
      <c r="J5">
        <f>MEDIAN(E:E)</f>
        <v>114.5</v>
      </c>
    </row>
    <row r="6" spans="1:12" x14ac:dyDescent="0.2">
      <c r="A6" t="s">
        <v>20</v>
      </c>
      <c r="B6">
        <v>220</v>
      </c>
      <c r="D6" t="s">
        <v>14</v>
      </c>
      <c r="E6">
        <v>44</v>
      </c>
      <c r="H6" s="11" t="s">
        <v>2107</v>
      </c>
      <c r="I6">
        <f>MIN(B:B)</f>
        <v>16</v>
      </c>
      <c r="J6">
        <f>MIN(E:E)</f>
        <v>0</v>
      </c>
    </row>
    <row r="7" spans="1:12" x14ac:dyDescent="0.2">
      <c r="A7" t="s">
        <v>20</v>
      </c>
      <c r="B7">
        <v>98</v>
      </c>
      <c r="D7" t="s">
        <v>14</v>
      </c>
      <c r="E7">
        <v>27</v>
      </c>
      <c r="H7" s="11" t="s">
        <v>2106</v>
      </c>
      <c r="I7">
        <f>MAX(B:B)</f>
        <v>7295</v>
      </c>
      <c r="J7">
        <f>MAX(E:E)</f>
        <v>6080</v>
      </c>
    </row>
    <row r="8" spans="1:12" x14ac:dyDescent="0.2">
      <c r="A8" t="s">
        <v>20</v>
      </c>
      <c r="B8">
        <v>100</v>
      </c>
      <c r="D8" t="s">
        <v>14</v>
      </c>
      <c r="E8">
        <v>55</v>
      </c>
      <c r="H8" s="11" t="s">
        <v>2119</v>
      </c>
      <c r="I8" s="5">
        <f>_xlfn.VAR.S(B:B)</f>
        <v>1606216.5936295739</v>
      </c>
      <c r="J8" s="5">
        <f>_xlfn.VAR.S(E:E)</f>
        <v>924113.45496927318</v>
      </c>
      <c r="L8" t="s">
        <v>2118</v>
      </c>
    </row>
    <row r="9" spans="1:12" x14ac:dyDescent="0.2">
      <c r="A9" t="s">
        <v>20</v>
      </c>
      <c r="B9">
        <v>1249</v>
      </c>
      <c r="D9" t="s">
        <v>14</v>
      </c>
      <c r="E9">
        <v>200</v>
      </c>
      <c r="H9" s="11" t="s">
        <v>2120</v>
      </c>
      <c r="I9" s="10">
        <f>_xlfn.STDEV.S(B:B)</f>
        <v>1267.366006183523</v>
      </c>
      <c r="J9" s="10">
        <f>_xlfn.STDEV.S(E:E)</f>
        <v>961.30819978260524</v>
      </c>
    </row>
    <row r="10" spans="1:12" x14ac:dyDescent="0.2">
      <c r="A10" t="s">
        <v>20</v>
      </c>
      <c r="B10">
        <v>1396</v>
      </c>
      <c r="D10" t="s">
        <v>14</v>
      </c>
      <c r="E10">
        <v>452</v>
      </c>
    </row>
    <row r="11" spans="1:12" x14ac:dyDescent="0.2">
      <c r="A11" t="s">
        <v>20</v>
      </c>
      <c r="B11">
        <v>890</v>
      </c>
      <c r="D11" t="s">
        <v>14</v>
      </c>
      <c r="E11">
        <v>674</v>
      </c>
    </row>
    <row r="12" spans="1:12" x14ac:dyDescent="0.2">
      <c r="A12" t="s">
        <v>20</v>
      </c>
      <c r="B12">
        <v>142</v>
      </c>
      <c r="D12" t="s">
        <v>14</v>
      </c>
      <c r="E12">
        <v>558</v>
      </c>
    </row>
    <row r="13" spans="1:12" x14ac:dyDescent="0.2">
      <c r="A13" t="s">
        <v>20</v>
      </c>
      <c r="B13">
        <v>2673</v>
      </c>
      <c r="D13" t="s">
        <v>14</v>
      </c>
      <c r="E13">
        <v>15</v>
      </c>
    </row>
    <row r="14" spans="1:12" x14ac:dyDescent="0.2">
      <c r="A14" t="s">
        <v>20</v>
      </c>
      <c r="B14">
        <v>163</v>
      </c>
      <c r="D14" t="s">
        <v>14</v>
      </c>
      <c r="E14">
        <v>2307</v>
      </c>
    </row>
    <row r="15" spans="1:12" x14ac:dyDescent="0.2">
      <c r="A15" t="s">
        <v>20</v>
      </c>
      <c r="B15">
        <v>2220</v>
      </c>
      <c r="D15" t="s">
        <v>14</v>
      </c>
      <c r="E15">
        <v>88</v>
      </c>
    </row>
    <row r="16" spans="1:12" x14ac:dyDescent="0.2">
      <c r="A16" t="s">
        <v>20</v>
      </c>
      <c r="B16">
        <v>1606</v>
      </c>
      <c r="D16" t="s">
        <v>14</v>
      </c>
      <c r="E16">
        <v>48</v>
      </c>
    </row>
    <row r="17" spans="1:5" x14ac:dyDescent="0.2">
      <c r="A17" t="s">
        <v>20</v>
      </c>
      <c r="B17">
        <v>129</v>
      </c>
      <c r="D17" t="s">
        <v>14</v>
      </c>
      <c r="E17">
        <v>1</v>
      </c>
    </row>
    <row r="18" spans="1:5" x14ac:dyDescent="0.2">
      <c r="A18" t="s">
        <v>20</v>
      </c>
      <c r="B18">
        <v>226</v>
      </c>
      <c r="D18" t="s">
        <v>14</v>
      </c>
      <c r="E18">
        <v>1467</v>
      </c>
    </row>
    <row r="19" spans="1:5" x14ac:dyDescent="0.2">
      <c r="A19" t="s">
        <v>20</v>
      </c>
      <c r="B19">
        <v>5419</v>
      </c>
      <c r="D19" t="s">
        <v>14</v>
      </c>
      <c r="E19">
        <v>75</v>
      </c>
    </row>
    <row r="20" spans="1:5" x14ac:dyDescent="0.2">
      <c r="A20" t="s">
        <v>20</v>
      </c>
      <c r="B20">
        <v>165</v>
      </c>
      <c r="D20" t="s">
        <v>14</v>
      </c>
      <c r="E20">
        <v>120</v>
      </c>
    </row>
    <row r="21" spans="1:5" x14ac:dyDescent="0.2">
      <c r="A21" t="s">
        <v>20</v>
      </c>
      <c r="B21">
        <v>1965</v>
      </c>
      <c r="D21" t="s">
        <v>14</v>
      </c>
      <c r="E21">
        <v>2253</v>
      </c>
    </row>
    <row r="22" spans="1:5" x14ac:dyDescent="0.2">
      <c r="A22" t="s">
        <v>20</v>
      </c>
      <c r="B22">
        <v>16</v>
      </c>
      <c r="D22" t="s">
        <v>14</v>
      </c>
      <c r="E22">
        <v>5</v>
      </c>
    </row>
    <row r="23" spans="1:5" x14ac:dyDescent="0.2">
      <c r="A23" t="s">
        <v>20</v>
      </c>
      <c r="B23">
        <v>107</v>
      </c>
      <c r="D23" t="s">
        <v>14</v>
      </c>
      <c r="E23">
        <v>38</v>
      </c>
    </row>
    <row r="24" spans="1:5" x14ac:dyDescent="0.2">
      <c r="A24" t="s">
        <v>20</v>
      </c>
      <c r="B24">
        <v>134</v>
      </c>
      <c r="D24" t="s">
        <v>14</v>
      </c>
      <c r="E24">
        <v>12</v>
      </c>
    </row>
    <row r="25" spans="1:5" x14ac:dyDescent="0.2">
      <c r="A25" t="s">
        <v>20</v>
      </c>
      <c r="B25">
        <v>198</v>
      </c>
      <c r="D25" t="s">
        <v>14</v>
      </c>
      <c r="E25">
        <v>1684</v>
      </c>
    </row>
    <row r="26" spans="1:5" x14ac:dyDescent="0.2">
      <c r="A26" t="s">
        <v>20</v>
      </c>
      <c r="B26">
        <v>111</v>
      </c>
      <c r="D26" t="s">
        <v>14</v>
      </c>
      <c r="E26">
        <v>56</v>
      </c>
    </row>
    <row r="27" spans="1:5" x14ac:dyDescent="0.2">
      <c r="A27" t="s">
        <v>20</v>
      </c>
      <c r="B27">
        <v>222</v>
      </c>
      <c r="D27" t="s">
        <v>14</v>
      </c>
      <c r="E27">
        <v>838</v>
      </c>
    </row>
    <row r="28" spans="1:5" x14ac:dyDescent="0.2">
      <c r="A28" t="s">
        <v>20</v>
      </c>
      <c r="B28">
        <v>6212</v>
      </c>
      <c r="D28" t="s">
        <v>14</v>
      </c>
      <c r="E28">
        <v>1000</v>
      </c>
    </row>
    <row r="29" spans="1:5" x14ac:dyDescent="0.2">
      <c r="A29" t="s">
        <v>20</v>
      </c>
      <c r="B29">
        <v>98</v>
      </c>
      <c r="D29" t="s">
        <v>14</v>
      </c>
      <c r="E29">
        <v>1482</v>
      </c>
    </row>
    <row r="30" spans="1:5" x14ac:dyDescent="0.2">
      <c r="A30" t="s">
        <v>20</v>
      </c>
      <c r="B30">
        <v>92</v>
      </c>
      <c r="D30" t="s">
        <v>14</v>
      </c>
      <c r="E30">
        <v>106</v>
      </c>
    </row>
    <row r="31" spans="1:5" x14ac:dyDescent="0.2">
      <c r="A31" t="s">
        <v>20</v>
      </c>
      <c r="B31">
        <v>149</v>
      </c>
      <c r="D31" t="s">
        <v>14</v>
      </c>
      <c r="E31">
        <v>679</v>
      </c>
    </row>
    <row r="32" spans="1:5" x14ac:dyDescent="0.2">
      <c r="A32" t="s">
        <v>20</v>
      </c>
      <c r="B32">
        <v>2431</v>
      </c>
      <c r="D32" t="s">
        <v>14</v>
      </c>
      <c r="E32">
        <v>1220</v>
      </c>
    </row>
    <row r="33" spans="1:5" x14ac:dyDescent="0.2">
      <c r="A33" t="s">
        <v>20</v>
      </c>
      <c r="B33">
        <v>303</v>
      </c>
      <c r="D33" t="s">
        <v>14</v>
      </c>
      <c r="E33">
        <v>1</v>
      </c>
    </row>
    <row r="34" spans="1:5" x14ac:dyDescent="0.2">
      <c r="A34" t="s">
        <v>20</v>
      </c>
      <c r="B34">
        <v>209</v>
      </c>
      <c r="D34" t="s">
        <v>14</v>
      </c>
      <c r="E34">
        <v>37</v>
      </c>
    </row>
    <row r="35" spans="1:5" x14ac:dyDescent="0.2">
      <c r="A35" t="s">
        <v>20</v>
      </c>
      <c r="B35">
        <v>131</v>
      </c>
      <c r="D35" t="s">
        <v>14</v>
      </c>
      <c r="E35">
        <v>60</v>
      </c>
    </row>
    <row r="36" spans="1:5" x14ac:dyDescent="0.2">
      <c r="A36" t="s">
        <v>20</v>
      </c>
      <c r="B36">
        <v>164</v>
      </c>
      <c r="D36" t="s">
        <v>14</v>
      </c>
      <c r="E36">
        <v>296</v>
      </c>
    </row>
    <row r="37" spans="1:5" x14ac:dyDescent="0.2">
      <c r="A37" t="s">
        <v>20</v>
      </c>
      <c r="B37">
        <v>201</v>
      </c>
      <c r="D37" t="s">
        <v>14</v>
      </c>
      <c r="E37">
        <v>3304</v>
      </c>
    </row>
    <row r="38" spans="1:5" x14ac:dyDescent="0.2">
      <c r="A38" t="s">
        <v>20</v>
      </c>
      <c r="B38">
        <v>211</v>
      </c>
      <c r="D38" t="s">
        <v>14</v>
      </c>
      <c r="E38">
        <v>73</v>
      </c>
    </row>
    <row r="39" spans="1:5" x14ac:dyDescent="0.2">
      <c r="A39" t="s">
        <v>20</v>
      </c>
      <c r="B39">
        <v>128</v>
      </c>
      <c r="D39" t="s">
        <v>14</v>
      </c>
      <c r="E39">
        <v>3387</v>
      </c>
    </row>
    <row r="40" spans="1:5" x14ac:dyDescent="0.2">
      <c r="A40" t="s">
        <v>20</v>
      </c>
      <c r="B40">
        <v>1600</v>
      </c>
      <c r="D40" t="s">
        <v>14</v>
      </c>
      <c r="E40">
        <v>662</v>
      </c>
    </row>
    <row r="41" spans="1:5" x14ac:dyDescent="0.2">
      <c r="A41" t="s">
        <v>20</v>
      </c>
      <c r="B41">
        <v>249</v>
      </c>
      <c r="D41" t="s">
        <v>14</v>
      </c>
      <c r="E41">
        <v>774</v>
      </c>
    </row>
    <row r="42" spans="1:5" x14ac:dyDescent="0.2">
      <c r="A42" t="s">
        <v>20</v>
      </c>
      <c r="B42">
        <v>236</v>
      </c>
      <c r="D42" t="s">
        <v>14</v>
      </c>
      <c r="E42">
        <v>672</v>
      </c>
    </row>
    <row r="43" spans="1:5" x14ac:dyDescent="0.2">
      <c r="A43" t="s">
        <v>20</v>
      </c>
      <c r="B43">
        <v>4065</v>
      </c>
      <c r="D43" t="s">
        <v>14</v>
      </c>
      <c r="E43">
        <v>940</v>
      </c>
    </row>
    <row r="44" spans="1:5" x14ac:dyDescent="0.2">
      <c r="A44" t="s">
        <v>20</v>
      </c>
      <c r="B44">
        <v>246</v>
      </c>
      <c r="D44" t="s">
        <v>14</v>
      </c>
      <c r="E44">
        <v>117</v>
      </c>
    </row>
    <row r="45" spans="1:5" x14ac:dyDescent="0.2">
      <c r="A45" t="s">
        <v>20</v>
      </c>
      <c r="B45">
        <v>2475</v>
      </c>
      <c r="D45" t="s">
        <v>14</v>
      </c>
      <c r="E45">
        <v>115</v>
      </c>
    </row>
    <row r="46" spans="1:5" x14ac:dyDescent="0.2">
      <c r="A46" t="s">
        <v>20</v>
      </c>
      <c r="B46">
        <v>76</v>
      </c>
      <c r="D46" t="s">
        <v>14</v>
      </c>
      <c r="E46">
        <v>326</v>
      </c>
    </row>
    <row r="47" spans="1:5" x14ac:dyDescent="0.2">
      <c r="A47" t="s">
        <v>20</v>
      </c>
      <c r="B47">
        <v>54</v>
      </c>
      <c r="D47" t="s">
        <v>14</v>
      </c>
      <c r="E47">
        <v>1</v>
      </c>
    </row>
    <row r="48" spans="1:5" x14ac:dyDescent="0.2">
      <c r="A48" t="s">
        <v>20</v>
      </c>
      <c r="B48">
        <v>88</v>
      </c>
      <c r="D48" t="s">
        <v>14</v>
      </c>
      <c r="E48">
        <v>1467</v>
      </c>
    </row>
    <row r="49" spans="1:5" x14ac:dyDescent="0.2">
      <c r="A49" t="s">
        <v>20</v>
      </c>
      <c r="B49">
        <v>85</v>
      </c>
      <c r="D49" t="s">
        <v>14</v>
      </c>
      <c r="E49">
        <v>5681</v>
      </c>
    </row>
    <row r="50" spans="1:5" x14ac:dyDescent="0.2">
      <c r="A50" t="s">
        <v>20</v>
      </c>
      <c r="B50">
        <v>170</v>
      </c>
      <c r="D50" t="s">
        <v>14</v>
      </c>
      <c r="E50">
        <v>1059</v>
      </c>
    </row>
    <row r="51" spans="1:5" x14ac:dyDescent="0.2">
      <c r="A51" t="s">
        <v>20</v>
      </c>
      <c r="B51">
        <v>330</v>
      </c>
      <c r="D51" t="s">
        <v>14</v>
      </c>
      <c r="E51">
        <v>1194</v>
      </c>
    </row>
    <row r="52" spans="1:5" x14ac:dyDescent="0.2">
      <c r="A52" t="s">
        <v>20</v>
      </c>
      <c r="B52">
        <v>127</v>
      </c>
      <c r="D52" t="s">
        <v>14</v>
      </c>
      <c r="E52">
        <v>30</v>
      </c>
    </row>
    <row r="53" spans="1:5" x14ac:dyDescent="0.2">
      <c r="A53" t="s">
        <v>20</v>
      </c>
      <c r="B53">
        <v>411</v>
      </c>
      <c r="D53" t="s">
        <v>14</v>
      </c>
      <c r="E53">
        <v>75</v>
      </c>
    </row>
    <row r="54" spans="1:5" x14ac:dyDescent="0.2">
      <c r="A54" t="s">
        <v>20</v>
      </c>
      <c r="B54">
        <v>180</v>
      </c>
      <c r="D54" t="s">
        <v>14</v>
      </c>
      <c r="E54">
        <v>955</v>
      </c>
    </row>
    <row r="55" spans="1:5" x14ac:dyDescent="0.2">
      <c r="A55" t="s">
        <v>20</v>
      </c>
      <c r="B55">
        <v>374</v>
      </c>
      <c r="D55" t="s">
        <v>14</v>
      </c>
      <c r="E55">
        <v>67</v>
      </c>
    </row>
    <row r="56" spans="1:5" x14ac:dyDescent="0.2">
      <c r="A56" t="s">
        <v>20</v>
      </c>
      <c r="B56">
        <v>71</v>
      </c>
      <c r="D56" t="s">
        <v>14</v>
      </c>
      <c r="E56">
        <v>5</v>
      </c>
    </row>
    <row r="57" spans="1:5" x14ac:dyDescent="0.2">
      <c r="A57" t="s">
        <v>20</v>
      </c>
      <c r="B57">
        <v>203</v>
      </c>
      <c r="D57" t="s">
        <v>14</v>
      </c>
      <c r="E57">
        <v>26</v>
      </c>
    </row>
    <row r="58" spans="1:5" x14ac:dyDescent="0.2">
      <c r="A58" t="s">
        <v>20</v>
      </c>
      <c r="B58">
        <v>113</v>
      </c>
      <c r="D58" t="s">
        <v>14</v>
      </c>
      <c r="E58">
        <v>1130</v>
      </c>
    </row>
    <row r="59" spans="1:5" x14ac:dyDescent="0.2">
      <c r="A59" t="s">
        <v>20</v>
      </c>
      <c r="B59">
        <v>96</v>
      </c>
      <c r="D59" t="s">
        <v>14</v>
      </c>
      <c r="E59">
        <v>782</v>
      </c>
    </row>
    <row r="60" spans="1:5" x14ac:dyDescent="0.2">
      <c r="A60" t="s">
        <v>20</v>
      </c>
      <c r="B60">
        <v>498</v>
      </c>
      <c r="D60" t="s">
        <v>14</v>
      </c>
      <c r="E60">
        <v>210</v>
      </c>
    </row>
    <row r="61" spans="1:5" x14ac:dyDescent="0.2">
      <c r="A61" t="s">
        <v>20</v>
      </c>
      <c r="B61">
        <v>180</v>
      </c>
      <c r="D61" t="s">
        <v>14</v>
      </c>
      <c r="E61">
        <v>136</v>
      </c>
    </row>
    <row r="62" spans="1:5" x14ac:dyDescent="0.2">
      <c r="A62" t="s">
        <v>20</v>
      </c>
      <c r="B62">
        <v>27</v>
      </c>
      <c r="D62" t="s">
        <v>14</v>
      </c>
      <c r="E62">
        <v>86</v>
      </c>
    </row>
    <row r="63" spans="1:5" x14ac:dyDescent="0.2">
      <c r="A63" t="s">
        <v>20</v>
      </c>
      <c r="B63">
        <v>2331</v>
      </c>
      <c r="D63" t="s">
        <v>14</v>
      </c>
      <c r="E63">
        <v>19</v>
      </c>
    </row>
    <row r="64" spans="1:5" x14ac:dyDescent="0.2">
      <c r="A64" t="s">
        <v>20</v>
      </c>
      <c r="B64">
        <v>113</v>
      </c>
      <c r="D64" t="s">
        <v>14</v>
      </c>
      <c r="E64">
        <v>886</v>
      </c>
    </row>
    <row r="65" spans="1:5" x14ac:dyDescent="0.2">
      <c r="A65" t="s">
        <v>20</v>
      </c>
      <c r="B65">
        <v>164</v>
      </c>
      <c r="D65" t="s">
        <v>14</v>
      </c>
      <c r="E65">
        <v>35</v>
      </c>
    </row>
    <row r="66" spans="1:5" x14ac:dyDescent="0.2">
      <c r="A66" t="s">
        <v>20</v>
      </c>
      <c r="B66">
        <v>164</v>
      </c>
      <c r="D66" t="s">
        <v>14</v>
      </c>
      <c r="E66">
        <v>24</v>
      </c>
    </row>
    <row r="67" spans="1:5" x14ac:dyDescent="0.2">
      <c r="A67" t="s">
        <v>20</v>
      </c>
      <c r="B67">
        <v>336</v>
      </c>
      <c r="D67" t="s">
        <v>14</v>
      </c>
      <c r="E67">
        <v>86</v>
      </c>
    </row>
    <row r="68" spans="1:5" x14ac:dyDescent="0.2">
      <c r="A68" t="s">
        <v>20</v>
      </c>
      <c r="B68">
        <v>1917</v>
      </c>
      <c r="D68" t="s">
        <v>14</v>
      </c>
      <c r="E68">
        <v>243</v>
      </c>
    </row>
    <row r="69" spans="1:5" x14ac:dyDescent="0.2">
      <c r="A69" t="s">
        <v>20</v>
      </c>
      <c r="B69">
        <v>95</v>
      </c>
      <c r="D69" t="s">
        <v>14</v>
      </c>
      <c r="E69">
        <v>65</v>
      </c>
    </row>
    <row r="70" spans="1:5" x14ac:dyDescent="0.2">
      <c r="A70" t="s">
        <v>20</v>
      </c>
      <c r="B70">
        <v>147</v>
      </c>
      <c r="D70" t="s">
        <v>14</v>
      </c>
      <c r="E70">
        <v>100</v>
      </c>
    </row>
    <row r="71" spans="1:5" x14ac:dyDescent="0.2">
      <c r="A71" t="s">
        <v>20</v>
      </c>
      <c r="B71">
        <v>86</v>
      </c>
      <c r="D71" t="s">
        <v>14</v>
      </c>
      <c r="E71">
        <v>168</v>
      </c>
    </row>
    <row r="72" spans="1:5" x14ac:dyDescent="0.2">
      <c r="A72" t="s">
        <v>20</v>
      </c>
      <c r="B72">
        <v>83</v>
      </c>
      <c r="D72" t="s">
        <v>14</v>
      </c>
      <c r="E72">
        <v>13</v>
      </c>
    </row>
    <row r="73" spans="1:5" x14ac:dyDescent="0.2">
      <c r="A73" t="s">
        <v>20</v>
      </c>
      <c r="B73">
        <v>676</v>
      </c>
      <c r="D73" t="s">
        <v>14</v>
      </c>
      <c r="E73">
        <v>1</v>
      </c>
    </row>
    <row r="74" spans="1:5" x14ac:dyDescent="0.2">
      <c r="A74" t="s">
        <v>20</v>
      </c>
      <c r="B74">
        <v>361</v>
      </c>
      <c r="D74" t="s">
        <v>14</v>
      </c>
      <c r="E74">
        <v>40</v>
      </c>
    </row>
    <row r="75" spans="1:5" x14ac:dyDescent="0.2">
      <c r="A75" t="s">
        <v>20</v>
      </c>
      <c r="B75">
        <v>131</v>
      </c>
      <c r="D75" t="s">
        <v>14</v>
      </c>
      <c r="E75">
        <v>226</v>
      </c>
    </row>
    <row r="76" spans="1:5" x14ac:dyDescent="0.2">
      <c r="A76" t="s">
        <v>20</v>
      </c>
      <c r="B76">
        <v>126</v>
      </c>
      <c r="D76" t="s">
        <v>14</v>
      </c>
      <c r="E76">
        <v>1625</v>
      </c>
    </row>
    <row r="77" spans="1:5" x14ac:dyDescent="0.2">
      <c r="A77" t="s">
        <v>20</v>
      </c>
      <c r="B77">
        <v>275</v>
      </c>
      <c r="D77" t="s">
        <v>14</v>
      </c>
      <c r="E77">
        <v>143</v>
      </c>
    </row>
    <row r="78" spans="1:5" x14ac:dyDescent="0.2">
      <c r="A78" t="s">
        <v>20</v>
      </c>
      <c r="B78">
        <v>67</v>
      </c>
      <c r="D78" t="s">
        <v>14</v>
      </c>
      <c r="E78">
        <v>934</v>
      </c>
    </row>
    <row r="79" spans="1:5" x14ac:dyDescent="0.2">
      <c r="A79" t="s">
        <v>20</v>
      </c>
      <c r="B79">
        <v>154</v>
      </c>
      <c r="D79" t="s">
        <v>14</v>
      </c>
      <c r="E79">
        <v>17</v>
      </c>
    </row>
    <row r="80" spans="1:5" x14ac:dyDescent="0.2">
      <c r="A80" t="s">
        <v>20</v>
      </c>
      <c r="B80">
        <v>1782</v>
      </c>
      <c r="D80" t="s">
        <v>14</v>
      </c>
      <c r="E80">
        <v>2179</v>
      </c>
    </row>
    <row r="81" spans="1:5" x14ac:dyDescent="0.2">
      <c r="A81" t="s">
        <v>20</v>
      </c>
      <c r="B81">
        <v>903</v>
      </c>
      <c r="D81" t="s">
        <v>14</v>
      </c>
      <c r="E81">
        <v>931</v>
      </c>
    </row>
    <row r="82" spans="1:5" x14ac:dyDescent="0.2">
      <c r="A82" t="s">
        <v>20</v>
      </c>
      <c r="B82">
        <v>94</v>
      </c>
      <c r="D82" t="s">
        <v>14</v>
      </c>
      <c r="E82">
        <v>92</v>
      </c>
    </row>
    <row r="83" spans="1:5" x14ac:dyDescent="0.2">
      <c r="A83" t="s">
        <v>20</v>
      </c>
      <c r="B83">
        <v>180</v>
      </c>
      <c r="D83" t="s">
        <v>14</v>
      </c>
      <c r="E83">
        <v>57</v>
      </c>
    </row>
    <row r="84" spans="1:5" x14ac:dyDescent="0.2">
      <c r="A84" t="s">
        <v>20</v>
      </c>
      <c r="B84">
        <v>533</v>
      </c>
      <c r="D84" t="s">
        <v>14</v>
      </c>
      <c r="E84">
        <v>41</v>
      </c>
    </row>
    <row r="85" spans="1:5" x14ac:dyDescent="0.2">
      <c r="A85" t="s">
        <v>20</v>
      </c>
      <c r="B85">
        <v>2443</v>
      </c>
      <c r="D85" t="s">
        <v>14</v>
      </c>
      <c r="E85">
        <v>1</v>
      </c>
    </row>
    <row r="86" spans="1:5" x14ac:dyDescent="0.2">
      <c r="A86" t="s">
        <v>20</v>
      </c>
      <c r="B86">
        <v>89</v>
      </c>
      <c r="D86" t="s">
        <v>14</v>
      </c>
      <c r="E86">
        <v>101</v>
      </c>
    </row>
    <row r="87" spans="1:5" x14ac:dyDescent="0.2">
      <c r="A87" t="s">
        <v>20</v>
      </c>
      <c r="B87">
        <v>159</v>
      </c>
      <c r="D87" t="s">
        <v>14</v>
      </c>
      <c r="E87">
        <v>1335</v>
      </c>
    </row>
    <row r="88" spans="1:5" x14ac:dyDescent="0.2">
      <c r="A88" t="s">
        <v>20</v>
      </c>
      <c r="B88">
        <v>50</v>
      </c>
      <c r="D88" t="s">
        <v>14</v>
      </c>
      <c r="E88">
        <v>15</v>
      </c>
    </row>
    <row r="89" spans="1:5" x14ac:dyDescent="0.2">
      <c r="A89" t="s">
        <v>20</v>
      </c>
      <c r="B89">
        <v>186</v>
      </c>
      <c r="D89" t="s">
        <v>14</v>
      </c>
      <c r="E89">
        <v>454</v>
      </c>
    </row>
    <row r="90" spans="1:5" x14ac:dyDescent="0.2">
      <c r="A90" t="s">
        <v>20</v>
      </c>
      <c r="B90">
        <v>1071</v>
      </c>
      <c r="D90" t="s">
        <v>14</v>
      </c>
      <c r="E90">
        <v>3182</v>
      </c>
    </row>
    <row r="91" spans="1:5" x14ac:dyDescent="0.2">
      <c r="A91" t="s">
        <v>20</v>
      </c>
      <c r="B91">
        <v>117</v>
      </c>
      <c r="D91" t="s">
        <v>14</v>
      </c>
      <c r="E91">
        <v>15</v>
      </c>
    </row>
    <row r="92" spans="1:5" x14ac:dyDescent="0.2">
      <c r="A92" t="s">
        <v>20</v>
      </c>
      <c r="B92">
        <v>70</v>
      </c>
      <c r="D92" t="s">
        <v>14</v>
      </c>
      <c r="E92">
        <v>133</v>
      </c>
    </row>
    <row r="93" spans="1:5" x14ac:dyDescent="0.2">
      <c r="A93" t="s">
        <v>20</v>
      </c>
      <c r="B93">
        <v>135</v>
      </c>
      <c r="D93" t="s">
        <v>14</v>
      </c>
      <c r="E93">
        <v>2062</v>
      </c>
    </row>
    <row r="94" spans="1:5" x14ac:dyDescent="0.2">
      <c r="A94" t="s">
        <v>20</v>
      </c>
      <c r="B94">
        <v>768</v>
      </c>
      <c r="D94" t="s">
        <v>14</v>
      </c>
      <c r="E94">
        <v>29</v>
      </c>
    </row>
    <row r="95" spans="1:5" x14ac:dyDescent="0.2">
      <c r="A95" t="s">
        <v>20</v>
      </c>
      <c r="B95">
        <v>199</v>
      </c>
      <c r="D95" t="s">
        <v>14</v>
      </c>
      <c r="E95">
        <v>132</v>
      </c>
    </row>
    <row r="96" spans="1:5" x14ac:dyDescent="0.2">
      <c r="A96" t="s">
        <v>20</v>
      </c>
      <c r="B96">
        <v>107</v>
      </c>
      <c r="D96" t="s">
        <v>14</v>
      </c>
      <c r="E96">
        <v>137</v>
      </c>
    </row>
    <row r="97" spans="1:5" x14ac:dyDescent="0.2">
      <c r="A97" t="s">
        <v>20</v>
      </c>
      <c r="B97">
        <v>195</v>
      </c>
      <c r="D97" t="s">
        <v>14</v>
      </c>
      <c r="E97">
        <v>908</v>
      </c>
    </row>
    <row r="98" spans="1:5" x14ac:dyDescent="0.2">
      <c r="A98" t="s">
        <v>20</v>
      </c>
      <c r="B98">
        <v>3376</v>
      </c>
      <c r="D98" t="s">
        <v>14</v>
      </c>
      <c r="E98">
        <v>10</v>
      </c>
    </row>
    <row r="99" spans="1:5" x14ac:dyDescent="0.2">
      <c r="A99" t="s">
        <v>20</v>
      </c>
      <c r="B99">
        <v>41</v>
      </c>
      <c r="D99" t="s">
        <v>14</v>
      </c>
      <c r="E99">
        <v>1910</v>
      </c>
    </row>
    <row r="100" spans="1:5" x14ac:dyDescent="0.2">
      <c r="A100" t="s">
        <v>20</v>
      </c>
      <c r="B100">
        <v>1821</v>
      </c>
      <c r="D100" t="s">
        <v>14</v>
      </c>
      <c r="E100">
        <v>38</v>
      </c>
    </row>
    <row r="101" spans="1:5" x14ac:dyDescent="0.2">
      <c r="A101" t="s">
        <v>20</v>
      </c>
      <c r="B101">
        <v>164</v>
      </c>
      <c r="D101" t="s">
        <v>14</v>
      </c>
      <c r="E101">
        <v>104</v>
      </c>
    </row>
    <row r="102" spans="1:5" x14ac:dyDescent="0.2">
      <c r="A102" t="s">
        <v>20</v>
      </c>
      <c r="B102">
        <v>157</v>
      </c>
      <c r="D102" t="s">
        <v>14</v>
      </c>
      <c r="E102">
        <v>49</v>
      </c>
    </row>
    <row r="103" spans="1:5" x14ac:dyDescent="0.2">
      <c r="A103" t="s">
        <v>20</v>
      </c>
      <c r="B103">
        <v>246</v>
      </c>
      <c r="D103" t="s">
        <v>14</v>
      </c>
      <c r="E103">
        <v>1</v>
      </c>
    </row>
    <row r="104" spans="1:5" x14ac:dyDescent="0.2">
      <c r="A104" t="s">
        <v>20</v>
      </c>
      <c r="B104">
        <v>1396</v>
      </c>
      <c r="D104" t="s">
        <v>14</v>
      </c>
      <c r="E104">
        <v>245</v>
      </c>
    </row>
    <row r="105" spans="1:5" x14ac:dyDescent="0.2">
      <c r="A105" t="s">
        <v>20</v>
      </c>
      <c r="B105">
        <v>2506</v>
      </c>
      <c r="D105" t="s">
        <v>14</v>
      </c>
      <c r="E105">
        <v>32</v>
      </c>
    </row>
    <row r="106" spans="1:5" x14ac:dyDescent="0.2">
      <c r="A106" t="s">
        <v>20</v>
      </c>
      <c r="B106">
        <v>244</v>
      </c>
      <c r="D106" t="s">
        <v>14</v>
      </c>
      <c r="E106">
        <v>7</v>
      </c>
    </row>
    <row r="107" spans="1:5" x14ac:dyDescent="0.2">
      <c r="A107" t="s">
        <v>20</v>
      </c>
      <c r="B107">
        <v>146</v>
      </c>
      <c r="D107" t="s">
        <v>14</v>
      </c>
      <c r="E107">
        <v>803</v>
      </c>
    </row>
    <row r="108" spans="1:5" x14ac:dyDescent="0.2">
      <c r="A108" t="s">
        <v>20</v>
      </c>
      <c r="B108">
        <v>1267</v>
      </c>
      <c r="D108" t="s">
        <v>14</v>
      </c>
      <c r="E108">
        <v>16</v>
      </c>
    </row>
    <row r="109" spans="1:5" x14ac:dyDescent="0.2">
      <c r="A109" t="s">
        <v>20</v>
      </c>
      <c r="B109">
        <v>1561</v>
      </c>
      <c r="D109" t="s">
        <v>14</v>
      </c>
      <c r="E109">
        <v>31</v>
      </c>
    </row>
    <row r="110" spans="1:5" x14ac:dyDescent="0.2">
      <c r="A110" t="s">
        <v>20</v>
      </c>
      <c r="B110">
        <v>48</v>
      </c>
      <c r="D110" t="s">
        <v>14</v>
      </c>
      <c r="E110">
        <v>108</v>
      </c>
    </row>
    <row r="111" spans="1:5" x14ac:dyDescent="0.2">
      <c r="A111" t="s">
        <v>20</v>
      </c>
      <c r="B111">
        <v>2739</v>
      </c>
      <c r="D111" t="s">
        <v>14</v>
      </c>
      <c r="E111">
        <v>30</v>
      </c>
    </row>
    <row r="112" spans="1:5" x14ac:dyDescent="0.2">
      <c r="A112" t="s">
        <v>20</v>
      </c>
      <c r="B112">
        <v>3537</v>
      </c>
      <c r="D112" t="s">
        <v>14</v>
      </c>
      <c r="E112">
        <v>17</v>
      </c>
    </row>
    <row r="113" spans="1:5" x14ac:dyDescent="0.2">
      <c r="A113" t="s">
        <v>20</v>
      </c>
      <c r="B113">
        <v>2107</v>
      </c>
      <c r="D113" t="s">
        <v>14</v>
      </c>
      <c r="E113">
        <v>80</v>
      </c>
    </row>
    <row r="114" spans="1:5" x14ac:dyDescent="0.2">
      <c r="A114" t="s">
        <v>20</v>
      </c>
      <c r="B114">
        <v>3318</v>
      </c>
      <c r="D114" t="s">
        <v>14</v>
      </c>
      <c r="E114">
        <v>2468</v>
      </c>
    </row>
    <row r="115" spans="1:5" x14ac:dyDescent="0.2">
      <c r="A115" t="s">
        <v>20</v>
      </c>
      <c r="B115">
        <v>340</v>
      </c>
      <c r="D115" t="s">
        <v>14</v>
      </c>
      <c r="E115">
        <v>26</v>
      </c>
    </row>
    <row r="116" spans="1:5" x14ac:dyDescent="0.2">
      <c r="A116" t="s">
        <v>20</v>
      </c>
      <c r="B116">
        <v>1442</v>
      </c>
      <c r="D116" t="s">
        <v>14</v>
      </c>
      <c r="E116">
        <v>73</v>
      </c>
    </row>
    <row r="117" spans="1:5" x14ac:dyDescent="0.2">
      <c r="A117" t="s">
        <v>20</v>
      </c>
      <c r="B117">
        <v>126</v>
      </c>
      <c r="D117" t="s">
        <v>14</v>
      </c>
      <c r="E117">
        <v>128</v>
      </c>
    </row>
    <row r="118" spans="1:5" x14ac:dyDescent="0.2">
      <c r="A118" t="s">
        <v>20</v>
      </c>
      <c r="B118">
        <v>524</v>
      </c>
      <c r="D118" t="s">
        <v>14</v>
      </c>
      <c r="E118">
        <v>33</v>
      </c>
    </row>
    <row r="119" spans="1:5" x14ac:dyDescent="0.2">
      <c r="A119" t="s">
        <v>20</v>
      </c>
      <c r="B119">
        <v>1989</v>
      </c>
      <c r="D119" t="s">
        <v>14</v>
      </c>
      <c r="E119">
        <v>1072</v>
      </c>
    </row>
    <row r="120" spans="1:5" x14ac:dyDescent="0.2">
      <c r="A120" t="s">
        <v>20</v>
      </c>
      <c r="B120">
        <v>157</v>
      </c>
      <c r="D120" t="s">
        <v>14</v>
      </c>
      <c r="E120">
        <v>393</v>
      </c>
    </row>
    <row r="121" spans="1:5" x14ac:dyDescent="0.2">
      <c r="A121" t="s">
        <v>20</v>
      </c>
      <c r="B121">
        <v>4498</v>
      </c>
      <c r="D121" t="s">
        <v>14</v>
      </c>
      <c r="E121">
        <v>1257</v>
      </c>
    </row>
    <row r="122" spans="1:5" x14ac:dyDescent="0.2">
      <c r="A122" t="s">
        <v>20</v>
      </c>
      <c r="B122">
        <v>80</v>
      </c>
      <c r="D122" t="s">
        <v>14</v>
      </c>
      <c r="E122">
        <v>328</v>
      </c>
    </row>
    <row r="123" spans="1:5" x14ac:dyDescent="0.2">
      <c r="A123" t="s">
        <v>20</v>
      </c>
      <c r="B123">
        <v>43</v>
      </c>
      <c r="D123" t="s">
        <v>14</v>
      </c>
      <c r="E123">
        <v>147</v>
      </c>
    </row>
    <row r="124" spans="1:5" x14ac:dyDescent="0.2">
      <c r="A124" t="s">
        <v>20</v>
      </c>
      <c r="B124">
        <v>2053</v>
      </c>
      <c r="D124" t="s">
        <v>14</v>
      </c>
      <c r="E124">
        <v>830</v>
      </c>
    </row>
    <row r="125" spans="1:5" x14ac:dyDescent="0.2">
      <c r="A125" t="s">
        <v>20</v>
      </c>
      <c r="B125">
        <v>168</v>
      </c>
      <c r="D125" t="s">
        <v>14</v>
      </c>
      <c r="E125">
        <v>331</v>
      </c>
    </row>
    <row r="126" spans="1:5" x14ac:dyDescent="0.2">
      <c r="A126" t="s">
        <v>20</v>
      </c>
      <c r="B126">
        <v>4289</v>
      </c>
      <c r="D126" t="s">
        <v>14</v>
      </c>
      <c r="E126">
        <v>25</v>
      </c>
    </row>
    <row r="127" spans="1:5" x14ac:dyDescent="0.2">
      <c r="A127" t="s">
        <v>20</v>
      </c>
      <c r="B127">
        <v>165</v>
      </c>
      <c r="D127" t="s">
        <v>14</v>
      </c>
      <c r="E127">
        <v>3483</v>
      </c>
    </row>
    <row r="128" spans="1:5" x14ac:dyDescent="0.2">
      <c r="A128" t="s">
        <v>20</v>
      </c>
      <c r="B128">
        <v>1815</v>
      </c>
      <c r="D128" t="s">
        <v>14</v>
      </c>
      <c r="E128">
        <v>923</v>
      </c>
    </row>
    <row r="129" spans="1:5" x14ac:dyDescent="0.2">
      <c r="A129" t="s">
        <v>20</v>
      </c>
      <c r="B129">
        <v>397</v>
      </c>
      <c r="D129" t="s">
        <v>14</v>
      </c>
      <c r="E129">
        <v>1</v>
      </c>
    </row>
    <row r="130" spans="1:5" x14ac:dyDescent="0.2">
      <c r="A130" t="s">
        <v>20</v>
      </c>
      <c r="B130">
        <v>1539</v>
      </c>
      <c r="D130" t="s">
        <v>14</v>
      </c>
      <c r="E130">
        <v>33</v>
      </c>
    </row>
    <row r="131" spans="1:5" x14ac:dyDescent="0.2">
      <c r="A131" t="s">
        <v>20</v>
      </c>
      <c r="B131">
        <v>138</v>
      </c>
      <c r="D131" t="s">
        <v>14</v>
      </c>
      <c r="E131">
        <v>40</v>
      </c>
    </row>
    <row r="132" spans="1:5" x14ac:dyDescent="0.2">
      <c r="A132" t="s">
        <v>20</v>
      </c>
      <c r="B132">
        <v>3594</v>
      </c>
      <c r="D132" t="s">
        <v>14</v>
      </c>
      <c r="E132">
        <v>23</v>
      </c>
    </row>
    <row r="133" spans="1:5" x14ac:dyDescent="0.2">
      <c r="A133" t="s">
        <v>20</v>
      </c>
      <c r="B133">
        <v>5880</v>
      </c>
      <c r="D133" t="s">
        <v>14</v>
      </c>
      <c r="E133">
        <v>75</v>
      </c>
    </row>
    <row r="134" spans="1:5" x14ac:dyDescent="0.2">
      <c r="A134" t="s">
        <v>20</v>
      </c>
      <c r="B134">
        <v>112</v>
      </c>
      <c r="D134" t="s">
        <v>14</v>
      </c>
      <c r="E134">
        <v>2176</v>
      </c>
    </row>
    <row r="135" spans="1:5" x14ac:dyDescent="0.2">
      <c r="A135" t="s">
        <v>20</v>
      </c>
      <c r="B135">
        <v>943</v>
      </c>
      <c r="D135" t="s">
        <v>14</v>
      </c>
      <c r="E135">
        <v>441</v>
      </c>
    </row>
    <row r="136" spans="1:5" x14ac:dyDescent="0.2">
      <c r="A136" t="s">
        <v>20</v>
      </c>
      <c r="B136">
        <v>2468</v>
      </c>
      <c r="D136" t="s">
        <v>14</v>
      </c>
      <c r="E136">
        <v>25</v>
      </c>
    </row>
    <row r="137" spans="1:5" x14ac:dyDescent="0.2">
      <c r="A137" t="s">
        <v>20</v>
      </c>
      <c r="B137">
        <v>2551</v>
      </c>
      <c r="D137" t="s">
        <v>14</v>
      </c>
      <c r="E137">
        <v>127</v>
      </c>
    </row>
    <row r="138" spans="1:5" x14ac:dyDescent="0.2">
      <c r="A138" t="s">
        <v>20</v>
      </c>
      <c r="B138">
        <v>101</v>
      </c>
      <c r="D138" t="s">
        <v>14</v>
      </c>
      <c r="E138">
        <v>355</v>
      </c>
    </row>
    <row r="139" spans="1:5" x14ac:dyDescent="0.2">
      <c r="A139" t="s">
        <v>20</v>
      </c>
      <c r="B139">
        <v>92</v>
      </c>
      <c r="D139" t="s">
        <v>14</v>
      </c>
      <c r="E139">
        <v>44</v>
      </c>
    </row>
    <row r="140" spans="1:5" x14ac:dyDescent="0.2">
      <c r="A140" t="s">
        <v>20</v>
      </c>
      <c r="B140">
        <v>62</v>
      </c>
      <c r="D140" t="s">
        <v>14</v>
      </c>
      <c r="E140">
        <v>67</v>
      </c>
    </row>
    <row r="141" spans="1:5" x14ac:dyDescent="0.2">
      <c r="A141" t="s">
        <v>20</v>
      </c>
      <c r="B141">
        <v>149</v>
      </c>
      <c r="D141" t="s">
        <v>14</v>
      </c>
      <c r="E141">
        <v>1068</v>
      </c>
    </row>
    <row r="142" spans="1:5" x14ac:dyDescent="0.2">
      <c r="A142" t="s">
        <v>20</v>
      </c>
      <c r="B142">
        <v>329</v>
      </c>
      <c r="D142" t="s">
        <v>14</v>
      </c>
      <c r="E142">
        <v>424</v>
      </c>
    </row>
    <row r="143" spans="1:5" x14ac:dyDescent="0.2">
      <c r="A143" t="s">
        <v>20</v>
      </c>
      <c r="B143">
        <v>97</v>
      </c>
      <c r="D143" t="s">
        <v>14</v>
      </c>
      <c r="E143">
        <v>151</v>
      </c>
    </row>
    <row r="144" spans="1:5" x14ac:dyDescent="0.2">
      <c r="A144" t="s">
        <v>20</v>
      </c>
      <c r="B144">
        <v>1784</v>
      </c>
      <c r="D144" t="s">
        <v>14</v>
      </c>
      <c r="E144">
        <v>1608</v>
      </c>
    </row>
    <row r="145" spans="1:5" x14ac:dyDescent="0.2">
      <c r="A145" t="s">
        <v>20</v>
      </c>
      <c r="B145">
        <v>1684</v>
      </c>
      <c r="D145" t="s">
        <v>14</v>
      </c>
      <c r="E145">
        <v>941</v>
      </c>
    </row>
    <row r="146" spans="1:5" x14ac:dyDescent="0.2">
      <c r="A146" t="s">
        <v>20</v>
      </c>
      <c r="B146">
        <v>250</v>
      </c>
      <c r="D146" t="s">
        <v>14</v>
      </c>
      <c r="E146">
        <v>1</v>
      </c>
    </row>
    <row r="147" spans="1:5" x14ac:dyDescent="0.2">
      <c r="A147" t="s">
        <v>20</v>
      </c>
      <c r="B147">
        <v>238</v>
      </c>
      <c r="D147" t="s">
        <v>14</v>
      </c>
      <c r="E147">
        <v>40</v>
      </c>
    </row>
    <row r="148" spans="1:5" x14ac:dyDescent="0.2">
      <c r="A148" t="s">
        <v>20</v>
      </c>
      <c r="B148">
        <v>53</v>
      </c>
      <c r="D148" t="s">
        <v>14</v>
      </c>
      <c r="E148">
        <v>3015</v>
      </c>
    </row>
    <row r="149" spans="1:5" x14ac:dyDescent="0.2">
      <c r="A149" t="s">
        <v>20</v>
      </c>
      <c r="B149">
        <v>214</v>
      </c>
      <c r="D149" t="s">
        <v>14</v>
      </c>
      <c r="E149">
        <v>435</v>
      </c>
    </row>
    <row r="150" spans="1:5" x14ac:dyDescent="0.2">
      <c r="A150" t="s">
        <v>20</v>
      </c>
      <c r="B150">
        <v>222</v>
      </c>
      <c r="D150" t="s">
        <v>14</v>
      </c>
      <c r="E150">
        <v>714</v>
      </c>
    </row>
    <row r="151" spans="1:5" x14ac:dyDescent="0.2">
      <c r="A151" t="s">
        <v>20</v>
      </c>
      <c r="B151">
        <v>1884</v>
      </c>
      <c r="D151" t="s">
        <v>14</v>
      </c>
      <c r="E151">
        <v>5497</v>
      </c>
    </row>
    <row r="152" spans="1:5" x14ac:dyDescent="0.2">
      <c r="A152" t="s">
        <v>20</v>
      </c>
      <c r="B152">
        <v>218</v>
      </c>
      <c r="D152" t="s">
        <v>14</v>
      </c>
      <c r="E152">
        <v>418</v>
      </c>
    </row>
    <row r="153" spans="1:5" x14ac:dyDescent="0.2">
      <c r="A153" t="s">
        <v>20</v>
      </c>
      <c r="B153">
        <v>6465</v>
      </c>
      <c r="D153" t="s">
        <v>14</v>
      </c>
      <c r="E153">
        <v>1439</v>
      </c>
    </row>
    <row r="154" spans="1:5" x14ac:dyDescent="0.2">
      <c r="A154" t="s">
        <v>20</v>
      </c>
      <c r="B154">
        <v>59</v>
      </c>
      <c r="D154" t="s">
        <v>14</v>
      </c>
      <c r="E154">
        <v>15</v>
      </c>
    </row>
    <row r="155" spans="1:5" x14ac:dyDescent="0.2">
      <c r="A155" t="s">
        <v>20</v>
      </c>
      <c r="B155">
        <v>88</v>
      </c>
      <c r="D155" t="s">
        <v>14</v>
      </c>
      <c r="E155">
        <v>1999</v>
      </c>
    </row>
    <row r="156" spans="1:5" x14ac:dyDescent="0.2">
      <c r="A156" t="s">
        <v>20</v>
      </c>
      <c r="B156">
        <v>1697</v>
      </c>
      <c r="D156" t="s">
        <v>14</v>
      </c>
      <c r="E156">
        <v>118</v>
      </c>
    </row>
    <row r="157" spans="1:5" x14ac:dyDescent="0.2">
      <c r="A157" t="s">
        <v>20</v>
      </c>
      <c r="B157">
        <v>92</v>
      </c>
      <c r="D157" t="s">
        <v>14</v>
      </c>
      <c r="E157">
        <v>162</v>
      </c>
    </row>
    <row r="158" spans="1:5" x14ac:dyDescent="0.2">
      <c r="A158" t="s">
        <v>20</v>
      </c>
      <c r="B158">
        <v>186</v>
      </c>
      <c r="D158" t="s">
        <v>14</v>
      </c>
      <c r="E158">
        <v>83</v>
      </c>
    </row>
    <row r="159" spans="1:5" x14ac:dyDescent="0.2">
      <c r="A159" t="s">
        <v>20</v>
      </c>
      <c r="B159">
        <v>138</v>
      </c>
      <c r="D159" t="s">
        <v>14</v>
      </c>
      <c r="E159">
        <v>747</v>
      </c>
    </row>
    <row r="160" spans="1:5" x14ac:dyDescent="0.2">
      <c r="A160" t="s">
        <v>20</v>
      </c>
      <c r="B160">
        <v>261</v>
      </c>
      <c r="D160" t="s">
        <v>14</v>
      </c>
      <c r="E160">
        <v>84</v>
      </c>
    </row>
    <row r="161" spans="1:5" x14ac:dyDescent="0.2">
      <c r="A161" t="s">
        <v>20</v>
      </c>
      <c r="B161">
        <v>107</v>
      </c>
      <c r="D161" t="s">
        <v>14</v>
      </c>
      <c r="E161">
        <v>91</v>
      </c>
    </row>
    <row r="162" spans="1:5" x14ac:dyDescent="0.2">
      <c r="A162" t="s">
        <v>20</v>
      </c>
      <c r="B162">
        <v>199</v>
      </c>
      <c r="D162" t="s">
        <v>14</v>
      </c>
      <c r="E162">
        <v>792</v>
      </c>
    </row>
    <row r="163" spans="1:5" x14ac:dyDescent="0.2">
      <c r="A163" t="s">
        <v>20</v>
      </c>
      <c r="B163">
        <v>5512</v>
      </c>
      <c r="D163" t="s">
        <v>14</v>
      </c>
      <c r="E163">
        <v>32</v>
      </c>
    </row>
    <row r="164" spans="1:5" x14ac:dyDescent="0.2">
      <c r="A164" t="s">
        <v>20</v>
      </c>
      <c r="B164">
        <v>86</v>
      </c>
      <c r="D164" t="s">
        <v>14</v>
      </c>
      <c r="E164">
        <v>186</v>
      </c>
    </row>
    <row r="165" spans="1:5" x14ac:dyDescent="0.2">
      <c r="A165" t="s">
        <v>20</v>
      </c>
      <c r="B165">
        <v>2768</v>
      </c>
      <c r="D165" t="s">
        <v>14</v>
      </c>
      <c r="E165">
        <v>605</v>
      </c>
    </row>
    <row r="166" spans="1:5" x14ac:dyDescent="0.2">
      <c r="A166" t="s">
        <v>20</v>
      </c>
      <c r="B166">
        <v>48</v>
      </c>
      <c r="D166" t="s">
        <v>14</v>
      </c>
      <c r="E166">
        <v>1</v>
      </c>
    </row>
    <row r="167" spans="1:5" x14ac:dyDescent="0.2">
      <c r="A167" t="s">
        <v>20</v>
      </c>
      <c r="B167">
        <v>87</v>
      </c>
      <c r="D167" t="s">
        <v>14</v>
      </c>
      <c r="E167">
        <v>31</v>
      </c>
    </row>
    <row r="168" spans="1:5" x14ac:dyDescent="0.2">
      <c r="A168" t="s">
        <v>20</v>
      </c>
      <c r="B168">
        <v>1894</v>
      </c>
      <c r="D168" t="s">
        <v>14</v>
      </c>
      <c r="E168">
        <v>1181</v>
      </c>
    </row>
    <row r="169" spans="1:5" x14ac:dyDescent="0.2">
      <c r="A169" t="s">
        <v>20</v>
      </c>
      <c r="B169">
        <v>282</v>
      </c>
      <c r="D169" t="s">
        <v>14</v>
      </c>
      <c r="E169">
        <v>39</v>
      </c>
    </row>
    <row r="170" spans="1:5" x14ac:dyDescent="0.2">
      <c r="A170" t="s">
        <v>20</v>
      </c>
      <c r="B170">
        <v>116</v>
      </c>
      <c r="D170" t="s">
        <v>14</v>
      </c>
      <c r="E170">
        <v>46</v>
      </c>
    </row>
    <row r="171" spans="1:5" x14ac:dyDescent="0.2">
      <c r="A171" t="s">
        <v>20</v>
      </c>
      <c r="B171">
        <v>83</v>
      </c>
      <c r="D171" t="s">
        <v>14</v>
      </c>
      <c r="E171">
        <v>105</v>
      </c>
    </row>
    <row r="172" spans="1:5" x14ac:dyDescent="0.2">
      <c r="A172" t="s">
        <v>20</v>
      </c>
      <c r="B172">
        <v>91</v>
      </c>
      <c r="D172" t="s">
        <v>14</v>
      </c>
      <c r="E172">
        <v>535</v>
      </c>
    </row>
    <row r="173" spans="1:5" x14ac:dyDescent="0.2">
      <c r="A173" t="s">
        <v>20</v>
      </c>
      <c r="B173">
        <v>546</v>
      </c>
      <c r="D173" t="s">
        <v>14</v>
      </c>
      <c r="E173">
        <v>16</v>
      </c>
    </row>
    <row r="174" spans="1:5" x14ac:dyDescent="0.2">
      <c r="A174" t="s">
        <v>20</v>
      </c>
      <c r="B174">
        <v>393</v>
      </c>
      <c r="D174" t="s">
        <v>14</v>
      </c>
      <c r="E174">
        <v>575</v>
      </c>
    </row>
    <row r="175" spans="1:5" x14ac:dyDescent="0.2">
      <c r="A175" t="s">
        <v>20</v>
      </c>
      <c r="B175">
        <v>133</v>
      </c>
      <c r="D175" t="s">
        <v>14</v>
      </c>
      <c r="E175">
        <v>1120</v>
      </c>
    </row>
    <row r="176" spans="1:5" x14ac:dyDescent="0.2">
      <c r="A176" t="s">
        <v>20</v>
      </c>
      <c r="B176">
        <v>254</v>
      </c>
      <c r="D176" t="s">
        <v>14</v>
      </c>
      <c r="E176">
        <v>113</v>
      </c>
    </row>
    <row r="177" spans="1:5" x14ac:dyDescent="0.2">
      <c r="A177" t="s">
        <v>20</v>
      </c>
      <c r="B177">
        <v>176</v>
      </c>
      <c r="D177" t="s">
        <v>14</v>
      </c>
      <c r="E177">
        <v>1538</v>
      </c>
    </row>
    <row r="178" spans="1:5" x14ac:dyDescent="0.2">
      <c r="A178" t="s">
        <v>20</v>
      </c>
      <c r="B178">
        <v>337</v>
      </c>
      <c r="D178" t="s">
        <v>14</v>
      </c>
      <c r="E178">
        <v>9</v>
      </c>
    </row>
    <row r="179" spans="1:5" x14ac:dyDescent="0.2">
      <c r="A179" t="s">
        <v>20</v>
      </c>
      <c r="B179">
        <v>107</v>
      </c>
      <c r="D179" t="s">
        <v>14</v>
      </c>
      <c r="E179">
        <v>554</v>
      </c>
    </row>
    <row r="180" spans="1:5" x14ac:dyDescent="0.2">
      <c r="A180" t="s">
        <v>20</v>
      </c>
      <c r="B180">
        <v>183</v>
      </c>
      <c r="D180" t="s">
        <v>14</v>
      </c>
      <c r="E180">
        <v>648</v>
      </c>
    </row>
    <row r="181" spans="1:5" x14ac:dyDescent="0.2">
      <c r="A181" t="s">
        <v>20</v>
      </c>
      <c r="B181">
        <v>72</v>
      </c>
      <c r="D181" t="s">
        <v>14</v>
      </c>
      <c r="E181">
        <v>21</v>
      </c>
    </row>
    <row r="182" spans="1:5" x14ac:dyDescent="0.2">
      <c r="A182" t="s">
        <v>20</v>
      </c>
      <c r="B182">
        <v>295</v>
      </c>
      <c r="D182" t="s">
        <v>14</v>
      </c>
      <c r="E182">
        <v>54</v>
      </c>
    </row>
    <row r="183" spans="1:5" x14ac:dyDescent="0.2">
      <c r="A183" t="s">
        <v>20</v>
      </c>
      <c r="B183">
        <v>142</v>
      </c>
      <c r="D183" t="s">
        <v>14</v>
      </c>
      <c r="E183">
        <v>120</v>
      </c>
    </row>
    <row r="184" spans="1:5" x14ac:dyDescent="0.2">
      <c r="A184" t="s">
        <v>20</v>
      </c>
      <c r="B184">
        <v>85</v>
      </c>
      <c r="D184" t="s">
        <v>14</v>
      </c>
      <c r="E184">
        <v>579</v>
      </c>
    </row>
    <row r="185" spans="1:5" x14ac:dyDescent="0.2">
      <c r="A185" t="s">
        <v>20</v>
      </c>
      <c r="B185">
        <v>659</v>
      </c>
      <c r="D185" t="s">
        <v>14</v>
      </c>
      <c r="E185">
        <v>2072</v>
      </c>
    </row>
    <row r="186" spans="1:5" x14ac:dyDescent="0.2">
      <c r="A186" t="s">
        <v>20</v>
      </c>
      <c r="B186">
        <v>121</v>
      </c>
      <c r="D186" t="s">
        <v>14</v>
      </c>
      <c r="E186">
        <v>0</v>
      </c>
    </row>
    <row r="187" spans="1:5" x14ac:dyDescent="0.2">
      <c r="A187" t="s">
        <v>20</v>
      </c>
      <c r="B187">
        <v>3742</v>
      </c>
      <c r="D187" t="s">
        <v>14</v>
      </c>
      <c r="E187">
        <v>1796</v>
      </c>
    </row>
    <row r="188" spans="1:5" x14ac:dyDescent="0.2">
      <c r="A188" t="s">
        <v>20</v>
      </c>
      <c r="B188">
        <v>223</v>
      </c>
      <c r="D188" t="s">
        <v>14</v>
      </c>
      <c r="E188">
        <v>62</v>
      </c>
    </row>
    <row r="189" spans="1:5" x14ac:dyDescent="0.2">
      <c r="A189" t="s">
        <v>20</v>
      </c>
      <c r="B189">
        <v>133</v>
      </c>
      <c r="D189" t="s">
        <v>14</v>
      </c>
      <c r="E189">
        <v>347</v>
      </c>
    </row>
    <row r="190" spans="1:5" x14ac:dyDescent="0.2">
      <c r="A190" t="s">
        <v>20</v>
      </c>
      <c r="B190">
        <v>5168</v>
      </c>
      <c r="D190" t="s">
        <v>14</v>
      </c>
      <c r="E190">
        <v>19</v>
      </c>
    </row>
    <row r="191" spans="1:5" x14ac:dyDescent="0.2">
      <c r="A191" t="s">
        <v>20</v>
      </c>
      <c r="B191">
        <v>307</v>
      </c>
      <c r="D191" t="s">
        <v>14</v>
      </c>
      <c r="E191">
        <v>1258</v>
      </c>
    </row>
    <row r="192" spans="1:5" x14ac:dyDescent="0.2">
      <c r="A192" t="s">
        <v>20</v>
      </c>
      <c r="B192">
        <v>2441</v>
      </c>
      <c r="D192" t="s">
        <v>14</v>
      </c>
      <c r="E192">
        <v>362</v>
      </c>
    </row>
    <row r="193" spans="1:5" x14ac:dyDescent="0.2">
      <c r="A193" t="s">
        <v>20</v>
      </c>
      <c r="B193">
        <v>1385</v>
      </c>
      <c r="D193" t="s">
        <v>14</v>
      </c>
      <c r="E193">
        <v>133</v>
      </c>
    </row>
    <row r="194" spans="1:5" x14ac:dyDescent="0.2">
      <c r="A194" t="s">
        <v>20</v>
      </c>
      <c r="B194">
        <v>190</v>
      </c>
      <c r="D194" t="s">
        <v>14</v>
      </c>
      <c r="E194">
        <v>846</v>
      </c>
    </row>
    <row r="195" spans="1:5" x14ac:dyDescent="0.2">
      <c r="A195" t="s">
        <v>20</v>
      </c>
      <c r="B195">
        <v>470</v>
      </c>
      <c r="D195" t="s">
        <v>14</v>
      </c>
      <c r="E195">
        <v>10</v>
      </c>
    </row>
    <row r="196" spans="1:5" x14ac:dyDescent="0.2">
      <c r="A196" t="s">
        <v>20</v>
      </c>
      <c r="B196">
        <v>253</v>
      </c>
      <c r="D196" t="s">
        <v>14</v>
      </c>
      <c r="E196">
        <v>191</v>
      </c>
    </row>
    <row r="197" spans="1:5" x14ac:dyDescent="0.2">
      <c r="A197" t="s">
        <v>20</v>
      </c>
      <c r="B197">
        <v>1113</v>
      </c>
      <c r="D197" t="s">
        <v>14</v>
      </c>
      <c r="E197">
        <v>1979</v>
      </c>
    </row>
    <row r="198" spans="1:5" x14ac:dyDescent="0.2">
      <c r="A198" t="s">
        <v>20</v>
      </c>
      <c r="B198">
        <v>2283</v>
      </c>
      <c r="D198" t="s">
        <v>14</v>
      </c>
      <c r="E198">
        <v>63</v>
      </c>
    </row>
    <row r="199" spans="1:5" x14ac:dyDescent="0.2">
      <c r="A199" t="s">
        <v>20</v>
      </c>
      <c r="B199">
        <v>1095</v>
      </c>
      <c r="D199" t="s">
        <v>14</v>
      </c>
      <c r="E199">
        <v>6080</v>
      </c>
    </row>
    <row r="200" spans="1:5" x14ac:dyDescent="0.2">
      <c r="A200" t="s">
        <v>20</v>
      </c>
      <c r="B200">
        <v>1690</v>
      </c>
      <c r="D200" t="s">
        <v>14</v>
      </c>
      <c r="E200">
        <v>80</v>
      </c>
    </row>
    <row r="201" spans="1:5" x14ac:dyDescent="0.2">
      <c r="A201" t="s">
        <v>20</v>
      </c>
      <c r="B201">
        <v>191</v>
      </c>
      <c r="D201" t="s">
        <v>14</v>
      </c>
      <c r="E201">
        <v>9</v>
      </c>
    </row>
    <row r="202" spans="1:5" x14ac:dyDescent="0.2">
      <c r="A202" t="s">
        <v>20</v>
      </c>
      <c r="B202">
        <v>2013</v>
      </c>
      <c r="D202" t="s">
        <v>14</v>
      </c>
      <c r="E202">
        <v>1784</v>
      </c>
    </row>
    <row r="203" spans="1:5" x14ac:dyDescent="0.2">
      <c r="A203" t="s">
        <v>20</v>
      </c>
      <c r="B203">
        <v>1703</v>
      </c>
      <c r="D203" t="s">
        <v>14</v>
      </c>
      <c r="E203">
        <v>243</v>
      </c>
    </row>
    <row r="204" spans="1:5" x14ac:dyDescent="0.2">
      <c r="A204" t="s">
        <v>20</v>
      </c>
      <c r="B204">
        <v>80</v>
      </c>
      <c r="D204" t="s">
        <v>14</v>
      </c>
      <c r="E204">
        <v>1296</v>
      </c>
    </row>
    <row r="205" spans="1:5" x14ac:dyDescent="0.2">
      <c r="A205" t="s">
        <v>20</v>
      </c>
      <c r="B205">
        <v>41</v>
      </c>
      <c r="D205" t="s">
        <v>14</v>
      </c>
      <c r="E205">
        <v>77</v>
      </c>
    </row>
    <row r="206" spans="1:5" x14ac:dyDescent="0.2">
      <c r="A206" t="s">
        <v>20</v>
      </c>
      <c r="B206">
        <v>187</v>
      </c>
      <c r="D206" t="s">
        <v>14</v>
      </c>
      <c r="E206">
        <v>395</v>
      </c>
    </row>
    <row r="207" spans="1:5" x14ac:dyDescent="0.2">
      <c r="A207" t="s">
        <v>20</v>
      </c>
      <c r="B207">
        <v>2875</v>
      </c>
      <c r="D207" t="s">
        <v>14</v>
      </c>
      <c r="E207">
        <v>49</v>
      </c>
    </row>
    <row r="208" spans="1:5" x14ac:dyDescent="0.2">
      <c r="A208" t="s">
        <v>20</v>
      </c>
      <c r="B208">
        <v>88</v>
      </c>
      <c r="D208" t="s">
        <v>14</v>
      </c>
      <c r="E208">
        <v>180</v>
      </c>
    </row>
    <row r="209" spans="1:5" x14ac:dyDescent="0.2">
      <c r="A209" t="s">
        <v>20</v>
      </c>
      <c r="B209">
        <v>191</v>
      </c>
      <c r="D209" t="s">
        <v>14</v>
      </c>
      <c r="E209">
        <v>2690</v>
      </c>
    </row>
    <row r="210" spans="1:5" x14ac:dyDescent="0.2">
      <c r="A210" t="s">
        <v>20</v>
      </c>
      <c r="B210">
        <v>139</v>
      </c>
      <c r="D210" t="s">
        <v>14</v>
      </c>
      <c r="E210">
        <v>2779</v>
      </c>
    </row>
    <row r="211" spans="1:5" x14ac:dyDescent="0.2">
      <c r="A211" t="s">
        <v>20</v>
      </c>
      <c r="B211">
        <v>186</v>
      </c>
      <c r="D211" t="s">
        <v>14</v>
      </c>
      <c r="E211">
        <v>92</v>
      </c>
    </row>
    <row r="212" spans="1:5" x14ac:dyDescent="0.2">
      <c r="A212" t="s">
        <v>20</v>
      </c>
      <c r="B212">
        <v>112</v>
      </c>
      <c r="D212" t="s">
        <v>14</v>
      </c>
      <c r="E212">
        <v>1028</v>
      </c>
    </row>
    <row r="213" spans="1:5" x14ac:dyDescent="0.2">
      <c r="A213" t="s">
        <v>20</v>
      </c>
      <c r="B213">
        <v>101</v>
      </c>
      <c r="D213" t="s">
        <v>14</v>
      </c>
      <c r="E213">
        <v>26</v>
      </c>
    </row>
    <row r="214" spans="1:5" x14ac:dyDescent="0.2">
      <c r="A214" t="s">
        <v>20</v>
      </c>
      <c r="B214">
        <v>206</v>
      </c>
      <c r="D214" t="s">
        <v>14</v>
      </c>
      <c r="E214">
        <v>1790</v>
      </c>
    </row>
    <row r="215" spans="1:5" x14ac:dyDescent="0.2">
      <c r="A215" t="s">
        <v>20</v>
      </c>
      <c r="B215">
        <v>154</v>
      </c>
      <c r="D215" t="s">
        <v>14</v>
      </c>
      <c r="E215">
        <v>37</v>
      </c>
    </row>
    <row r="216" spans="1:5" x14ac:dyDescent="0.2">
      <c r="A216" t="s">
        <v>20</v>
      </c>
      <c r="B216">
        <v>5966</v>
      </c>
      <c r="D216" t="s">
        <v>14</v>
      </c>
      <c r="E216">
        <v>35</v>
      </c>
    </row>
    <row r="217" spans="1:5" x14ac:dyDescent="0.2">
      <c r="A217" t="s">
        <v>20</v>
      </c>
      <c r="B217">
        <v>169</v>
      </c>
      <c r="D217" t="s">
        <v>14</v>
      </c>
      <c r="E217">
        <v>558</v>
      </c>
    </row>
    <row r="218" spans="1:5" x14ac:dyDescent="0.2">
      <c r="A218" t="s">
        <v>20</v>
      </c>
      <c r="B218">
        <v>2106</v>
      </c>
      <c r="D218" t="s">
        <v>14</v>
      </c>
      <c r="E218">
        <v>64</v>
      </c>
    </row>
    <row r="219" spans="1:5" x14ac:dyDescent="0.2">
      <c r="A219" t="s">
        <v>20</v>
      </c>
      <c r="B219">
        <v>131</v>
      </c>
      <c r="D219" t="s">
        <v>14</v>
      </c>
      <c r="E219">
        <v>245</v>
      </c>
    </row>
    <row r="220" spans="1:5" x14ac:dyDescent="0.2">
      <c r="A220" t="s">
        <v>20</v>
      </c>
      <c r="B220">
        <v>84</v>
      </c>
      <c r="D220" t="s">
        <v>14</v>
      </c>
      <c r="E220">
        <v>71</v>
      </c>
    </row>
    <row r="221" spans="1:5" x14ac:dyDescent="0.2">
      <c r="A221" t="s">
        <v>20</v>
      </c>
      <c r="B221">
        <v>155</v>
      </c>
      <c r="D221" t="s">
        <v>14</v>
      </c>
      <c r="E221">
        <v>42</v>
      </c>
    </row>
    <row r="222" spans="1:5" x14ac:dyDescent="0.2">
      <c r="A222" t="s">
        <v>20</v>
      </c>
      <c r="B222">
        <v>189</v>
      </c>
      <c r="D222" t="s">
        <v>14</v>
      </c>
      <c r="E222">
        <v>156</v>
      </c>
    </row>
    <row r="223" spans="1:5" x14ac:dyDescent="0.2">
      <c r="A223" t="s">
        <v>20</v>
      </c>
      <c r="B223">
        <v>4799</v>
      </c>
      <c r="D223" t="s">
        <v>14</v>
      </c>
      <c r="E223">
        <v>1368</v>
      </c>
    </row>
    <row r="224" spans="1:5" x14ac:dyDescent="0.2">
      <c r="A224" t="s">
        <v>20</v>
      </c>
      <c r="B224">
        <v>1137</v>
      </c>
      <c r="D224" t="s">
        <v>14</v>
      </c>
      <c r="E224">
        <v>102</v>
      </c>
    </row>
    <row r="225" spans="1:5" x14ac:dyDescent="0.2">
      <c r="A225" t="s">
        <v>20</v>
      </c>
      <c r="B225">
        <v>1152</v>
      </c>
      <c r="D225" t="s">
        <v>14</v>
      </c>
      <c r="E225">
        <v>86</v>
      </c>
    </row>
    <row r="226" spans="1:5" x14ac:dyDescent="0.2">
      <c r="A226" t="s">
        <v>20</v>
      </c>
      <c r="B226">
        <v>50</v>
      </c>
      <c r="D226" t="s">
        <v>14</v>
      </c>
      <c r="E226">
        <v>253</v>
      </c>
    </row>
    <row r="227" spans="1:5" x14ac:dyDescent="0.2">
      <c r="A227" t="s">
        <v>20</v>
      </c>
      <c r="B227">
        <v>3059</v>
      </c>
      <c r="D227" t="s">
        <v>14</v>
      </c>
      <c r="E227">
        <v>157</v>
      </c>
    </row>
    <row r="228" spans="1:5" x14ac:dyDescent="0.2">
      <c r="A228" t="s">
        <v>20</v>
      </c>
      <c r="B228">
        <v>34</v>
      </c>
      <c r="D228" t="s">
        <v>14</v>
      </c>
      <c r="E228">
        <v>183</v>
      </c>
    </row>
    <row r="229" spans="1:5" x14ac:dyDescent="0.2">
      <c r="A229" t="s">
        <v>20</v>
      </c>
      <c r="B229">
        <v>220</v>
      </c>
      <c r="D229" t="s">
        <v>14</v>
      </c>
      <c r="E229">
        <v>82</v>
      </c>
    </row>
    <row r="230" spans="1:5" x14ac:dyDescent="0.2">
      <c r="A230" t="s">
        <v>20</v>
      </c>
      <c r="B230">
        <v>1604</v>
      </c>
      <c r="D230" t="s">
        <v>14</v>
      </c>
      <c r="E230">
        <v>1</v>
      </c>
    </row>
    <row r="231" spans="1:5" x14ac:dyDescent="0.2">
      <c r="A231" t="s">
        <v>20</v>
      </c>
      <c r="B231">
        <v>454</v>
      </c>
      <c r="D231" t="s">
        <v>14</v>
      </c>
      <c r="E231">
        <v>1198</v>
      </c>
    </row>
    <row r="232" spans="1:5" x14ac:dyDescent="0.2">
      <c r="A232" t="s">
        <v>20</v>
      </c>
      <c r="B232">
        <v>123</v>
      </c>
      <c r="D232" t="s">
        <v>14</v>
      </c>
      <c r="E232">
        <v>648</v>
      </c>
    </row>
    <row r="233" spans="1:5" x14ac:dyDescent="0.2">
      <c r="A233" t="s">
        <v>20</v>
      </c>
      <c r="B233">
        <v>299</v>
      </c>
      <c r="D233" t="s">
        <v>14</v>
      </c>
      <c r="E233">
        <v>64</v>
      </c>
    </row>
    <row r="234" spans="1:5" x14ac:dyDescent="0.2">
      <c r="A234" t="s">
        <v>20</v>
      </c>
      <c r="B234">
        <v>2237</v>
      </c>
      <c r="D234" t="s">
        <v>14</v>
      </c>
      <c r="E234">
        <v>62</v>
      </c>
    </row>
    <row r="235" spans="1:5" x14ac:dyDescent="0.2">
      <c r="A235" t="s">
        <v>20</v>
      </c>
      <c r="B235">
        <v>645</v>
      </c>
      <c r="D235" t="s">
        <v>14</v>
      </c>
      <c r="E235">
        <v>750</v>
      </c>
    </row>
    <row r="236" spans="1:5" x14ac:dyDescent="0.2">
      <c r="A236" t="s">
        <v>20</v>
      </c>
      <c r="B236">
        <v>484</v>
      </c>
      <c r="D236" t="s">
        <v>14</v>
      </c>
      <c r="E236">
        <v>105</v>
      </c>
    </row>
    <row r="237" spans="1:5" x14ac:dyDescent="0.2">
      <c r="A237" t="s">
        <v>20</v>
      </c>
      <c r="B237">
        <v>154</v>
      </c>
      <c r="D237" t="s">
        <v>14</v>
      </c>
      <c r="E237">
        <v>2604</v>
      </c>
    </row>
    <row r="238" spans="1:5" x14ac:dyDescent="0.2">
      <c r="A238" t="s">
        <v>20</v>
      </c>
      <c r="B238">
        <v>82</v>
      </c>
      <c r="D238" t="s">
        <v>14</v>
      </c>
      <c r="E238">
        <v>65</v>
      </c>
    </row>
    <row r="239" spans="1:5" x14ac:dyDescent="0.2">
      <c r="A239" t="s">
        <v>20</v>
      </c>
      <c r="B239">
        <v>134</v>
      </c>
      <c r="D239" t="s">
        <v>14</v>
      </c>
      <c r="E239">
        <v>94</v>
      </c>
    </row>
    <row r="240" spans="1:5" x14ac:dyDescent="0.2">
      <c r="A240" t="s">
        <v>20</v>
      </c>
      <c r="B240">
        <v>5203</v>
      </c>
      <c r="D240" t="s">
        <v>14</v>
      </c>
      <c r="E240">
        <v>257</v>
      </c>
    </row>
    <row r="241" spans="1:5" x14ac:dyDescent="0.2">
      <c r="A241" t="s">
        <v>20</v>
      </c>
      <c r="B241">
        <v>94</v>
      </c>
      <c r="D241" t="s">
        <v>14</v>
      </c>
      <c r="E241">
        <v>2928</v>
      </c>
    </row>
    <row r="242" spans="1:5" x14ac:dyDescent="0.2">
      <c r="A242" t="s">
        <v>20</v>
      </c>
      <c r="B242">
        <v>205</v>
      </c>
      <c r="D242" t="s">
        <v>14</v>
      </c>
      <c r="E242">
        <v>4697</v>
      </c>
    </row>
    <row r="243" spans="1:5" x14ac:dyDescent="0.2">
      <c r="A243" t="s">
        <v>20</v>
      </c>
      <c r="B243">
        <v>92</v>
      </c>
      <c r="D243" t="s">
        <v>14</v>
      </c>
      <c r="E243">
        <v>2915</v>
      </c>
    </row>
    <row r="244" spans="1:5" x14ac:dyDescent="0.2">
      <c r="A244" t="s">
        <v>20</v>
      </c>
      <c r="B244">
        <v>219</v>
      </c>
      <c r="D244" t="s">
        <v>14</v>
      </c>
      <c r="E244">
        <v>18</v>
      </c>
    </row>
    <row r="245" spans="1:5" x14ac:dyDescent="0.2">
      <c r="A245" t="s">
        <v>20</v>
      </c>
      <c r="B245">
        <v>2526</v>
      </c>
      <c r="D245" t="s">
        <v>14</v>
      </c>
      <c r="E245">
        <v>602</v>
      </c>
    </row>
    <row r="246" spans="1:5" x14ac:dyDescent="0.2">
      <c r="A246" t="s">
        <v>20</v>
      </c>
      <c r="B246">
        <v>94</v>
      </c>
      <c r="D246" t="s">
        <v>14</v>
      </c>
      <c r="E246">
        <v>1</v>
      </c>
    </row>
    <row r="247" spans="1:5" x14ac:dyDescent="0.2">
      <c r="A247" t="s">
        <v>20</v>
      </c>
      <c r="B247">
        <v>1713</v>
      </c>
      <c r="D247" t="s">
        <v>14</v>
      </c>
      <c r="E247">
        <v>3868</v>
      </c>
    </row>
    <row r="248" spans="1:5" x14ac:dyDescent="0.2">
      <c r="A248" t="s">
        <v>20</v>
      </c>
      <c r="B248">
        <v>249</v>
      </c>
      <c r="D248" t="s">
        <v>14</v>
      </c>
      <c r="E248">
        <v>504</v>
      </c>
    </row>
    <row r="249" spans="1:5" x14ac:dyDescent="0.2">
      <c r="A249" t="s">
        <v>20</v>
      </c>
      <c r="B249">
        <v>192</v>
      </c>
      <c r="D249" t="s">
        <v>14</v>
      </c>
      <c r="E249">
        <v>14</v>
      </c>
    </row>
    <row r="250" spans="1:5" x14ac:dyDescent="0.2">
      <c r="A250" t="s">
        <v>20</v>
      </c>
      <c r="B250">
        <v>247</v>
      </c>
      <c r="D250" t="s">
        <v>14</v>
      </c>
      <c r="E250">
        <v>750</v>
      </c>
    </row>
    <row r="251" spans="1:5" x14ac:dyDescent="0.2">
      <c r="A251" t="s">
        <v>20</v>
      </c>
      <c r="B251">
        <v>2293</v>
      </c>
      <c r="D251" t="s">
        <v>14</v>
      </c>
      <c r="E251">
        <v>77</v>
      </c>
    </row>
    <row r="252" spans="1:5" x14ac:dyDescent="0.2">
      <c r="A252" t="s">
        <v>20</v>
      </c>
      <c r="B252">
        <v>3131</v>
      </c>
      <c r="D252" t="s">
        <v>14</v>
      </c>
      <c r="E252">
        <v>752</v>
      </c>
    </row>
    <row r="253" spans="1:5" x14ac:dyDescent="0.2">
      <c r="A253" t="s">
        <v>20</v>
      </c>
      <c r="B253">
        <v>143</v>
      </c>
      <c r="D253" t="s">
        <v>14</v>
      </c>
      <c r="E253">
        <v>131</v>
      </c>
    </row>
    <row r="254" spans="1:5" x14ac:dyDescent="0.2">
      <c r="A254" t="s">
        <v>20</v>
      </c>
      <c r="B254">
        <v>296</v>
      </c>
      <c r="D254" t="s">
        <v>14</v>
      </c>
      <c r="E254">
        <v>87</v>
      </c>
    </row>
    <row r="255" spans="1:5" x14ac:dyDescent="0.2">
      <c r="A255" t="s">
        <v>20</v>
      </c>
      <c r="B255">
        <v>170</v>
      </c>
      <c r="D255" t="s">
        <v>14</v>
      </c>
      <c r="E255">
        <v>1063</v>
      </c>
    </row>
    <row r="256" spans="1:5" x14ac:dyDescent="0.2">
      <c r="A256" t="s">
        <v>20</v>
      </c>
      <c r="B256">
        <v>86</v>
      </c>
      <c r="D256" t="s">
        <v>14</v>
      </c>
      <c r="E256">
        <v>76</v>
      </c>
    </row>
    <row r="257" spans="1:5" x14ac:dyDescent="0.2">
      <c r="A257" t="s">
        <v>20</v>
      </c>
      <c r="B257">
        <v>6286</v>
      </c>
      <c r="D257" t="s">
        <v>14</v>
      </c>
      <c r="E257">
        <v>4428</v>
      </c>
    </row>
    <row r="258" spans="1:5" x14ac:dyDescent="0.2">
      <c r="A258" t="s">
        <v>20</v>
      </c>
      <c r="B258">
        <v>3727</v>
      </c>
      <c r="D258" t="s">
        <v>14</v>
      </c>
      <c r="E258">
        <v>58</v>
      </c>
    </row>
    <row r="259" spans="1:5" x14ac:dyDescent="0.2">
      <c r="A259" t="s">
        <v>20</v>
      </c>
      <c r="B259">
        <v>1605</v>
      </c>
      <c r="D259" t="s">
        <v>14</v>
      </c>
      <c r="E259">
        <v>111</v>
      </c>
    </row>
    <row r="260" spans="1:5" x14ac:dyDescent="0.2">
      <c r="A260" t="s">
        <v>20</v>
      </c>
      <c r="B260">
        <v>2120</v>
      </c>
      <c r="D260" t="s">
        <v>14</v>
      </c>
      <c r="E260">
        <v>2955</v>
      </c>
    </row>
    <row r="261" spans="1:5" x14ac:dyDescent="0.2">
      <c r="A261" t="s">
        <v>20</v>
      </c>
      <c r="B261">
        <v>50</v>
      </c>
      <c r="D261" t="s">
        <v>14</v>
      </c>
      <c r="E261">
        <v>1657</v>
      </c>
    </row>
    <row r="262" spans="1:5" x14ac:dyDescent="0.2">
      <c r="A262" t="s">
        <v>20</v>
      </c>
      <c r="B262">
        <v>2080</v>
      </c>
      <c r="D262" t="s">
        <v>14</v>
      </c>
      <c r="E262">
        <v>926</v>
      </c>
    </row>
    <row r="263" spans="1:5" x14ac:dyDescent="0.2">
      <c r="A263" t="s">
        <v>20</v>
      </c>
      <c r="B263">
        <v>2105</v>
      </c>
      <c r="D263" t="s">
        <v>14</v>
      </c>
      <c r="E263">
        <v>77</v>
      </c>
    </row>
    <row r="264" spans="1:5" x14ac:dyDescent="0.2">
      <c r="A264" t="s">
        <v>20</v>
      </c>
      <c r="B264">
        <v>2436</v>
      </c>
      <c r="D264" t="s">
        <v>14</v>
      </c>
      <c r="E264">
        <v>1748</v>
      </c>
    </row>
    <row r="265" spans="1:5" x14ac:dyDescent="0.2">
      <c r="A265" t="s">
        <v>20</v>
      </c>
      <c r="B265">
        <v>80</v>
      </c>
      <c r="D265" t="s">
        <v>14</v>
      </c>
      <c r="E265">
        <v>79</v>
      </c>
    </row>
    <row r="266" spans="1:5" x14ac:dyDescent="0.2">
      <c r="A266" t="s">
        <v>20</v>
      </c>
      <c r="B266">
        <v>42</v>
      </c>
      <c r="D266" t="s">
        <v>14</v>
      </c>
      <c r="E266">
        <v>889</v>
      </c>
    </row>
    <row r="267" spans="1:5" x14ac:dyDescent="0.2">
      <c r="A267" t="s">
        <v>20</v>
      </c>
      <c r="B267">
        <v>139</v>
      </c>
      <c r="D267" t="s">
        <v>14</v>
      </c>
      <c r="E267">
        <v>56</v>
      </c>
    </row>
    <row r="268" spans="1:5" x14ac:dyDescent="0.2">
      <c r="A268" t="s">
        <v>20</v>
      </c>
      <c r="B268">
        <v>159</v>
      </c>
      <c r="D268" t="s">
        <v>14</v>
      </c>
      <c r="E268">
        <v>1</v>
      </c>
    </row>
    <row r="269" spans="1:5" x14ac:dyDescent="0.2">
      <c r="A269" t="s">
        <v>20</v>
      </c>
      <c r="B269">
        <v>381</v>
      </c>
      <c r="D269" t="s">
        <v>14</v>
      </c>
      <c r="E269">
        <v>83</v>
      </c>
    </row>
    <row r="270" spans="1:5" x14ac:dyDescent="0.2">
      <c r="A270" t="s">
        <v>20</v>
      </c>
      <c r="B270">
        <v>194</v>
      </c>
      <c r="D270" t="s">
        <v>14</v>
      </c>
      <c r="E270">
        <v>2025</v>
      </c>
    </row>
    <row r="271" spans="1:5" x14ac:dyDescent="0.2">
      <c r="A271" t="s">
        <v>20</v>
      </c>
      <c r="B271">
        <v>106</v>
      </c>
      <c r="D271" t="s">
        <v>14</v>
      </c>
      <c r="E271">
        <v>14</v>
      </c>
    </row>
    <row r="272" spans="1:5" x14ac:dyDescent="0.2">
      <c r="A272" t="s">
        <v>20</v>
      </c>
      <c r="B272">
        <v>142</v>
      </c>
      <c r="D272" t="s">
        <v>14</v>
      </c>
      <c r="E272">
        <v>656</v>
      </c>
    </row>
    <row r="273" spans="1:5" x14ac:dyDescent="0.2">
      <c r="A273" t="s">
        <v>20</v>
      </c>
      <c r="B273">
        <v>211</v>
      </c>
      <c r="D273" t="s">
        <v>14</v>
      </c>
      <c r="E273">
        <v>1596</v>
      </c>
    </row>
    <row r="274" spans="1:5" x14ac:dyDescent="0.2">
      <c r="A274" t="s">
        <v>20</v>
      </c>
      <c r="B274">
        <v>2756</v>
      </c>
      <c r="D274" t="s">
        <v>14</v>
      </c>
      <c r="E274">
        <v>10</v>
      </c>
    </row>
    <row r="275" spans="1:5" x14ac:dyDescent="0.2">
      <c r="A275" t="s">
        <v>20</v>
      </c>
      <c r="B275">
        <v>173</v>
      </c>
      <c r="D275" t="s">
        <v>14</v>
      </c>
      <c r="E275">
        <v>1121</v>
      </c>
    </row>
    <row r="276" spans="1:5" x14ac:dyDescent="0.2">
      <c r="A276" t="s">
        <v>20</v>
      </c>
      <c r="B276">
        <v>87</v>
      </c>
      <c r="D276" t="s">
        <v>14</v>
      </c>
      <c r="E276">
        <v>15</v>
      </c>
    </row>
    <row r="277" spans="1:5" x14ac:dyDescent="0.2">
      <c r="A277" t="s">
        <v>20</v>
      </c>
      <c r="B277">
        <v>1572</v>
      </c>
      <c r="D277" t="s">
        <v>14</v>
      </c>
      <c r="E277">
        <v>191</v>
      </c>
    </row>
    <row r="278" spans="1:5" x14ac:dyDescent="0.2">
      <c r="A278" t="s">
        <v>20</v>
      </c>
      <c r="B278">
        <v>2346</v>
      </c>
      <c r="D278" t="s">
        <v>14</v>
      </c>
      <c r="E278">
        <v>16</v>
      </c>
    </row>
    <row r="279" spans="1:5" x14ac:dyDescent="0.2">
      <c r="A279" t="s">
        <v>20</v>
      </c>
      <c r="B279">
        <v>115</v>
      </c>
      <c r="D279" t="s">
        <v>14</v>
      </c>
      <c r="E279">
        <v>17</v>
      </c>
    </row>
    <row r="280" spans="1:5" x14ac:dyDescent="0.2">
      <c r="A280" t="s">
        <v>20</v>
      </c>
      <c r="B280">
        <v>85</v>
      </c>
      <c r="D280" t="s">
        <v>14</v>
      </c>
      <c r="E280">
        <v>34</v>
      </c>
    </row>
    <row r="281" spans="1:5" x14ac:dyDescent="0.2">
      <c r="A281" t="s">
        <v>20</v>
      </c>
      <c r="B281">
        <v>144</v>
      </c>
      <c r="D281" t="s">
        <v>14</v>
      </c>
      <c r="E281">
        <v>1</v>
      </c>
    </row>
    <row r="282" spans="1:5" x14ac:dyDescent="0.2">
      <c r="A282" t="s">
        <v>20</v>
      </c>
      <c r="B282">
        <v>2443</v>
      </c>
      <c r="D282" t="s">
        <v>14</v>
      </c>
      <c r="E282">
        <v>1274</v>
      </c>
    </row>
    <row r="283" spans="1:5" x14ac:dyDescent="0.2">
      <c r="A283" t="s">
        <v>20</v>
      </c>
      <c r="B283">
        <v>64</v>
      </c>
      <c r="D283" t="s">
        <v>14</v>
      </c>
      <c r="E283">
        <v>210</v>
      </c>
    </row>
    <row r="284" spans="1:5" x14ac:dyDescent="0.2">
      <c r="A284" t="s">
        <v>20</v>
      </c>
      <c r="B284">
        <v>268</v>
      </c>
      <c r="D284" t="s">
        <v>14</v>
      </c>
      <c r="E284">
        <v>248</v>
      </c>
    </row>
    <row r="285" spans="1:5" x14ac:dyDescent="0.2">
      <c r="A285" t="s">
        <v>20</v>
      </c>
      <c r="B285">
        <v>195</v>
      </c>
      <c r="D285" t="s">
        <v>14</v>
      </c>
      <c r="E285">
        <v>513</v>
      </c>
    </row>
    <row r="286" spans="1:5" x14ac:dyDescent="0.2">
      <c r="A286" t="s">
        <v>20</v>
      </c>
      <c r="B286">
        <v>186</v>
      </c>
      <c r="D286" t="s">
        <v>14</v>
      </c>
      <c r="E286">
        <v>3410</v>
      </c>
    </row>
    <row r="287" spans="1:5" x14ac:dyDescent="0.2">
      <c r="A287" t="s">
        <v>20</v>
      </c>
      <c r="B287">
        <v>460</v>
      </c>
      <c r="D287" t="s">
        <v>14</v>
      </c>
      <c r="E287">
        <v>10</v>
      </c>
    </row>
    <row r="288" spans="1:5" x14ac:dyDescent="0.2">
      <c r="A288" t="s">
        <v>20</v>
      </c>
      <c r="B288">
        <v>2528</v>
      </c>
      <c r="D288" t="s">
        <v>14</v>
      </c>
      <c r="E288">
        <v>2201</v>
      </c>
    </row>
    <row r="289" spans="1:5" x14ac:dyDescent="0.2">
      <c r="A289" t="s">
        <v>20</v>
      </c>
      <c r="B289">
        <v>3657</v>
      </c>
      <c r="D289" t="s">
        <v>14</v>
      </c>
      <c r="E289">
        <v>676</v>
      </c>
    </row>
    <row r="290" spans="1:5" x14ac:dyDescent="0.2">
      <c r="A290" t="s">
        <v>20</v>
      </c>
      <c r="B290">
        <v>131</v>
      </c>
      <c r="D290" t="s">
        <v>14</v>
      </c>
      <c r="E290">
        <v>831</v>
      </c>
    </row>
    <row r="291" spans="1:5" x14ac:dyDescent="0.2">
      <c r="A291" t="s">
        <v>20</v>
      </c>
      <c r="B291">
        <v>239</v>
      </c>
      <c r="D291" t="s">
        <v>14</v>
      </c>
      <c r="E291">
        <v>859</v>
      </c>
    </row>
    <row r="292" spans="1:5" x14ac:dyDescent="0.2">
      <c r="A292" t="s">
        <v>20</v>
      </c>
      <c r="B292">
        <v>78</v>
      </c>
      <c r="D292" t="s">
        <v>14</v>
      </c>
      <c r="E292">
        <v>45</v>
      </c>
    </row>
    <row r="293" spans="1:5" x14ac:dyDescent="0.2">
      <c r="A293" t="s">
        <v>20</v>
      </c>
      <c r="B293">
        <v>1773</v>
      </c>
      <c r="D293" t="s">
        <v>14</v>
      </c>
      <c r="E293">
        <v>6</v>
      </c>
    </row>
    <row r="294" spans="1:5" x14ac:dyDescent="0.2">
      <c r="A294" t="s">
        <v>20</v>
      </c>
      <c r="B294">
        <v>32</v>
      </c>
      <c r="D294" t="s">
        <v>14</v>
      </c>
      <c r="E294">
        <v>7</v>
      </c>
    </row>
    <row r="295" spans="1:5" x14ac:dyDescent="0.2">
      <c r="A295" t="s">
        <v>20</v>
      </c>
      <c r="B295">
        <v>369</v>
      </c>
      <c r="D295" t="s">
        <v>14</v>
      </c>
      <c r="E295">
        <v>31</v>
      </c>
    </row>
    <row r="296" spans="1:5" x14ac:dyDescent="0.2">
      <c r="A296" t="s">
        <v>20</v>
      </c>
      <c r="B296">
        <v>89</v>
      </c>
      <c r="D296" t="s">
        <v>14</v>
      </c>
      <c r="E296">
        <v>78</v>
      </c>
    </row>
    <row r="297" spans="1:5" x14ac:dyDescent="0.2">
      <c r="A297" t="s">
        <v>20</v>
      </c>
      <c r="B297">
        <v>147</v>
      </c>
      <c r="D297" t="s">
        <v>14</v>
      </c>
      <c r="E297">
        <v>1225</v>
      </c>
    </row>
    <row r="298" spans="1:5" x14ac:dyDescent="0.2">
      <c r="A298" t="s">
        <v>20</v>
      </c>
      <c r="B298">
        <v>126</v>
      </c>
      <c r="D298" t="s">
        <v>14</v>
      </c>
      <c r="E298">
        <v>1</v>
      </c>
    </row>
    <row r="299" spans="1:5" x14ac:dyDescent="0.2">
      <c r="A299" t="s">
        <v>20</v>
      </c>
      <c r="B299">
        <v>2218</v>
      </c>
      <c r="D299" t="s">
        <v>14</v>
      </c>
      <c r="E299">
        <v>67</v>
      </c>
    </row>
    <row r="300" spans="1:5" x14ac:dyDescent="0.2">
      <c r="A300" t="s">
        <v>20</v>
      </c>
      <c r="B300">
        <v>202</v>
      </c>
      <c r="D300" t="s">
        <v>14</v>
      </c>
      <c r="E300">
        <v>19</v>
      </c>
    </row>
    <row r="301" spans="1:5" x14ac:dyDescent="0.2">
      <c r="A301" t="s">
        <v>20</v>
      </c>
      <c r="B301">
        <v>140</v>
      </c>
      <c r="D301" t="s">
        <v>14</v>
      </c>
      <c r="E301">
        <v>2108</v>
      </c>
    </row>
    <row r="302" spans="1:5" x14ac:dyDescent="0.2">
      <c r="A302" t="s">
        <v>20</v>
      </c>
      <c r="B302">
        <v>1052</v>
      </c>
      <c r="D302" t="s">
        <v>14</v>
      </c>
      <c r="E302">
        <v>679</v>
      </c>
    </row>
    <row r="303" spans="1:5" x14ac:dyDescent="0.2">
      <c r="A303" t="s">
        <v>20</v>
      </c>
      <c r="B303">
        <v>247</v>
      </c>
      <c r="D303" t="s">
        <v>14</v>
      </c>
      <c r="E303">
        <v>36</v>
      </c>
    </row>
    <row r="304" spans="1:5" x14ac:dyDescent="0.2">
      <c r="A304" t="s">
        <v>20</v>
      </c>
      <c r="B304">
        <v>84</v>
      </c>
      <c r="D304" t="s">
        <v>14</v>
      </c>
      <c r="E304">
        <v>47</v>
      </c>
    </row>
    <row r="305" spans="1:5" x14ac:dyDescent="0.2">
      <c r="A305" t="s">
        <v>20</v>
      </c>
      <c r="B305">
        <v>88</v>
      </c>
      <c r="D305" t="s">
        <v>14</v>
      </c>
      <c r="E305">
        <v>70</v>
      </c>
    </row>
    <row r="306" spans="1:5" x14ac:dyDescent="0.2">
      <c r="A306" t="s">
        <v>20</v>
      </c>
      <c r="B306">
        <v>156</v>
      </c>
      <c r="D306" t="s">
        <v>14</v>
      </c>
      <c r="E306">
        <v>154</v>
      </c>
    </row>
    <row r="307" spans="1:5" x14ac:dyDescent="0.2">
      <c r="A307" t="s">
        <v>20</v>
      </c>
      <c r="B307">
        <v>2985</v>
      </c>
      <c r="D307" t="s">
        <v>14</v>
      </c>
      <c r="E307">
        <v>22</v>
      </c>
    </row>
    <row r="308" spans="1:5" x14ac:dyDescent="0.2">
      <c r="A308" t="s">
        <v>20</v>
      </c>
      <c r="B308">
        <v>762</v>
      </c>
      <c r="D308" t="s">
        <v>14</v>
      </c>
      <c r="E308">
        <v>1758</v>
      </c>
    </row>
    <row r="309" spans="1:5" x14ac:dyDescent="0.2">
      <c r="A309" t="s">
        <v>20</v>
      </c>
      <c r="B309">
        <v>554</v>
      </c>
      <c r="D309" t="s">
        <v>14</v>
      </c>
      <c r="E309">
        <v>94</v>
      </c>
    </row>
    <row r="310" spans="1:5" x14ac:dyDescent="0.2">
      <c r="A310" t="s">
        <v>20</v>
      </c>
      <c r="B310">
        <v>135</v>
      </c>
      <c r="D310" t="s">
        <v>14</v>
      </c>
      <c r="E310">
        <v>33</v>
      </c>
    </row>
    <row r="311" spans="1:5" x14ac:dyDescent="0.2">
      <c r="A311" t="s">
        <v>20</v>
      </c>
      <c r="B311">
        <v>122</v>
      </c>
      <c r="D311" t="s">
        <v>14</v>
      </c>
      <c r="E311">
        <v>1</v>
      </c>
    </row>
    <row r="312" spans="1:5" x14ac:dyDescent="0.2">
      <c r="A312" t="s">
        <v>20</v>
      </c>
      <c r="B312">
        <v>221</v>
      </c>
      <c r="D312" t="s">
        <v>14</v>
      </c>
      <c r="E312">
        <v>31</v>
      </c>
    </row>
    <row r="313" spans="1:5" x14ac:dyDescent="0.2">
      <c r="A313" t="s">
        <v>20</v>
      </c>
      <c r="B313">
        <v>126</v>
      </c>
      <c r="D313" t="s">
        <v>14</v>
      </c>
      <c r="E313">
        <v>35</v>
      </c>
    </row>
    <row r="314" spans="1:5" x14ac:dyDescent="0.2">
      <c r="A314" t="s">
        <v>20</v>
      </c>
      <c r="B314">
        <v>1022</v>
      </c>
      <c r="D314" t="s">
        <v>14</v>
      </c>
      <c r="E314">
        <v>63</v>
      </c>
    </row>
    <row r="315" spans="1:5" x14ac:dyDescent="0.2">
      <c r="A315" t="s">
        <v>20</v>
      </c>
      <c r="B315">
        <v>3177</v>
      </c>
      <c r="D315" t="s">
        <v>14</v>
      </c>
      <c r="E315">
        <v>526</v>
      </c>
    </row>
    <row r="316" spans="1:5" x14ac:dyDescent="0.2">
      <c r="A316" t="s">
        <v>20</v>
      </c>
      <c r="B316">
        <v>198</v>
      </c>
      <c r="D316" t="s">
        <v>14</v>
      </c>
      <c r="E316">
        <v>121</v>
      </c>
    </row>
    <row r="317" spans="1:5" x14ac:dyDescent="0.2">
      <c r="A317" t="s">
        <v>20</v>
      </c>
      <c r="B317">
        <v>85</v>
      </c>
      <c r="D317" t="s">
        <v>14</v>
      </c>
      <c r="E317">
        <v>67</v>
      </c>
    </row>
    <row r="318" spans="1:5" x14ac:dyDescent="0.2">
      <c r="A318" t="s">
        <v>20</v>
      </c>
      <c r="B318">
        <v>3596</v>
      </c>
      <c r="D318" t="s">
        <v>14</v>
      </c>
      <c r="E318">
        <v>57</v>
      </c>
    </row>
    <row r="319" spans="1:5" x14ac:dyDescent="0.2">
      <c r="A319" t="s">
        <v>20</v>
      </c>
      <c r="B319">
        <v>244</v>
      </c>
      <c r="D319" t="s">
        <v>14</v>
      </c>
      <c r="E319">
        <v>1229</v>
      </c>
    </row>
    <row r="320" spans="1:5" x14ac:dyDescent="0.2">
      <c r="A320" t="s">
        <v>20</v>
      </c>
      <c r="B320">
        <v>5180</v>
      </c>
      <c r="D320" t="s">
        <v>14</v>
      </c>
      <c r="E320">
        <v>12</v>
      </c>
    </row>
    <row r="321" spans="1:5" x14ac:dyDescent="0.2">
      <c r="A321" t="s">
        <v>20</v>
      </c>
      <c r="B321">
        <v>589</v>
      </c>
      <c r="D321" t="s">
        <v>14</v>
      </c>
      <c r="E321">
        <v>452</v>
      </c>
    </row>
    <row r="322" spans="1:5" x14ac:dyDescent="0.2">
      <c r="A322" t="s">
        <v>20</v>
      </c>
      <c r="B322">
        <v>2725</v>
      </c>
      <c r="D322" t="s">
        <v>14</v>
      </c>
      <c r="E322">
        <v>1886</v>
      </c>
    </row>
    <row r="323" spans="1:5" x14ac:dyDescent="0.2">
      <c r="A323" t="s">
        <v>20</v>
      </c>
      <c r="B323">
        <v>300</v>
      </c>
      <c r="D323" t="s">
        <v>14</v>
      </c>
      <c r="E323">
        <v>1825</v>
      </c>
    </row>
    <row r="324" spans="1:5" x14ac:dyDescent="0.2">
      <c r="A324" t="s">
        <v>20</v>
      </c>
      <c r="B324">
        <v>144</v>
      </c>
      <c r="D324" t="s">
        <v>14</v>
      </c>
      <c r="E324">
        <v>31</v>
      </c>
    </row>
    <row r="325" spans="1:5" x14ac:dyDescent="0.2">
      <c r="A325" t="s">
        <v>20</v>
      </c>
      <c r="B325">
        <v>87</v>
      </c>
      <c r="D325" t="s">
        <v>14</v>
      </c>
      <c r="E325">
        <v>107</v>
      </c>
    </row>
    <row r="326" spans="1:5" x14ac:dyDescent="0.2">
      <c r="A326" t="s">
        <v>20</v>
      </c>
      <c r="B326">
        <v>3116</v>
      </c>
      <c r="D326" t="s">
        <v>14</v>
      </c>
      <c r="E326">
        <v>27</v>
      </c>
    </row>
    <row r="327" spans="1:5" x14ac:dyDescent="0.2">
      <c r="A327" t="s">
        <v>20</v>
      </c>
      <c r="B327">
        <v>909</v>
      </c>
      <c r="D327" t="s">
        <v>14</v>
      </c>
      <c r="E327">
        <v>1221</v>
      </c>
    </row>
    <row r="328" spans="1:5" x14ac:dyDescent="0.2">
      <c r="A328" t="s">
        <v>20</v>
      </c>
      <c r="B328">
        <v>1613</v>
      </c>
      <c r="D328" t="s">
        <v>14</v>
      </c>
      <c r="E328">
        <v>1</v>
      </c>
    </row>
    <row r="329" spans="1:5" x14ac:dyDescent="0.2">
      <c r="A329" t="s">
        <v>20</v>
      </c>
      <c r="B329">
        <v>136</v>
      </c>
      <c r="D329" t="s">
        <v>14</v>
      </c>
      <c r="E329">
        <v>16</v>
      </c>
    </row>
    <row r="330" spans="1:5" x14ac:dyDescent="0.2">
      <c r="A330" t="s">
        <v>20</v>
      </c>
      <c r="B330">
        <v>130</v>
      </c>
      <c r="D330" t="s">
        <v>14</v>
      </c>
      <c r="E330">
        <v>41</v>
      </c>
    </row>
    <row r="331" spans="1:5" x14ac:dyDescent="0.2">
      <c r="A331" t="s">
        <v>20</v>
      </c>
      <c r="B331">
        <v>102</v>
      </c>
      <c r="D331" t="s">
        <v>14</v>
      </c>
      <c r="E331">
        <v>523</v>
      </c>
    </row>
    <row r="332" spans="1:5" x14ac:dyDescent="0.2">
      <c r="A332" t="s">
        <v>20</v>
      </c>
      <c r="B332">
        <v>4006</v>
      </c>
      <c r="D332" t="s">
        <v>14</v>
      </c>
      <c r="E332">
        <v>141</v>
      </c>
    </row>
    <row r="333" spans="1:5" x14ac:dyDescent="0.2">
      <c r="A333" t="s">
        <v>20</v>
      </c>
      <c r="B333">
        <v>1629</v>
      </c>
      <c r="D333" t="s">
        <v>14</v>
      </c>
      <c r="E333">
        <v>52</v>
      </c>
    </row>
    <row r="334" spans="1:5" x14ac:dyDescent="0.2">
      <c r="A334" t="s">
        <v>20</v>
      </c>
      <c r="B334">
        <v>2188</v>
      </c>
      <c r="D334" t="s">
        <v>14</v>
      </c>
      <c r="E334">
        <v>225</v>
      </c>
    </row>
    <row r="335" spans="1:5" x14ac:dyDescent="0.2">
      <c r="A335" t="s">
        <v>20</v>
      </c>
      <c r="B335">
        <v>2409</v>
      </c>
      <c r="D335" t="s">
        <v>14</v>
      </c>
      <c r="E335">
        <v>38</v>
      </c>
    </row>
    <row r="336" spans="1:5" x14ac:dyDescent="0.2">
      <c r="A336" t="s">
        <v>20</v>
      </c>
      <c r="B336">
        <v>194</v>
      </c>
      <c r="D336" t="s">
        <v>14</v>
      </c>
      <c r="E336">
        <v>15</v>
      </c>
    </row>
    <row r="337" spans="1:5" x14ac:dyDescent="0.2">
      <c r="A337" t="s">
        <v>20</v>
      </c>
      <c r="B337">
        <v>1140</v>
      </c>
      <c r="D337" t="s">
        <v>14</v>
      </c>
      <c r="E337">
        <v>37</v>
      </c>
    </row>
    <row r="338" spans="1:5" x14ac:dyDescent="0.2">
      <c r="A338" t="s">
        <v>20</v>
      </c>
      <c r="B338">
        <v>102</v>
      </c>
      <c r="D338" t="s">
        <v>14</v>
      </c>
      <c r="E338">
        <v>112</v>
      </c>
    </row>
    <row r="339" spans="1:5" x14ac:dyDescent="0.2">
      <c r="A339" t="s">
        <v>20</v>
      </c>
      <c r="B339">
        <v>2857</v>
      </c>
      <c r="D339" t="s">
        <v>14</v>
      </c>
      <c r="E339">
        <v>21</v>
      </c>
    </row>
    <row r="340" spans="1:5" x14ac:dyDescent="0.2">
      <c r="A340" t="s">
        <v>20</v>
      </c>
      <c r="B340">
        <v>107</v>
      </c>
      <c r="D340" t="s">
        <v>14</v>
      </c>
      <c r="E340">
        <v>67</v>
      </c>
    </row>
    <row r="341" spans="1:5" x14ac:dyDescent="0.2">
      <c r="A341" t="s">
        <v>20</v>
      </c>
      <c r="B341">
        <v>160</v>
      </c>
      <c r="D341" t="s">
        <v>14</v>
      </c>
      <c r="E341">
        <v>78</v>
      </c>
    </row>
    <row r="342" spans="1:5" x14ac:dyDescent="0.2">
      <c r="A342" t="s">
        <v>20</v>
      </c>
      <c r="B342">
        <v>2230</v>
      </c>
      <c r="D342" t="s">
        <v>14</v>
      </c>
      <c r="E342">
        <v>67</v>
      </c>
    </row>
    <row r="343" spans="1:5" x14ac:dyDescent="0.2">
      <c r="A343" t="s">
        <v>20</v>
      </c>
      <c r="B343">
        <v>316</v>
      </c>
      <c r="D343" t="s">
        <v>14</v>
      </c>
      <c r="E343">
        <v>263</v>
      </c>
    </row>
    <row r="344" spans="1:5" x14ac:dyDescent="0.2">
      <c r="A344" t="s">
        <v>20</v>
      </c>
      <c r="B344">
        <v>117</v>
      </c>
      <c r="D344" t="s">
        <v>14</v>
      </c>
      <c r="E344">
        <v>1691</v>
      </c>
    </row>
    <row r="345" spans="1:5" x14ac:dyDescent="0.2">
      <c r="A345" t="s">
        <v>20</v>
      </c>
      <c r="B345">
        <v>6406</v>
      </c>
      <c r="D345" t="s">
        <v>14</v>
      </c>
      <c r="E345">
        <v>181</v>
      </c>
    </row>
    <row r="346" spans="1:5" x14ac:dyDescent="0.2">
      <c r="A346" t="s">
        <v>20</v>
      </c>
      <c r="B346">
        <v>192</v>
      </c>
      <c r="D346" t="s">
        <v>14</v>
      </c>
      <c r="E346">
        <v>13</v>
      </c>
    </row>
    <row r="347" spans="1:5" x14ac:dyDescent="0.2">
      <c r="A347" t="s">
        <v>20</v>
      </c>
      <c r="B347">
        <v>26</v>
      </c>
      <c r="D347" t="s">
        <v>14</v>
      </c>
      <c r="E347">
        <v>1</v>
      </c>
    </row>
    <row r="348" spans="1:5" x14ac:dyDescent="0.2">
      <c r="A348" t="s">
        <v>20</v>
      </c>
      <c r="B348">
        <v>723</v>
      </c>
      <c r="D348" t="s">
        <v>14</v>
      </c>
      <c r="E348">
        <v>21</v>
      </c>
    </row>
    <row r="349" spans="1:5" x14ac:dyDescent="0.2">
      <c r="A349" t="s">
        <v>20</v>
      </c>
      <c r="B349">
        <v>170</v>
      </c>
      <c r="D349" t="s">
        <v>14</v>
      </c>
      <c r="E349">
        <v>830</v>
      </c>
    </row>
    <row r="350" spans="1:5" x14ac:dyDescent="0.2">
      <c r="A350" t="s">
        <v>20</v>
      </c>
      <c r="B350">
        <v>238</v>
      </c>
      <c r="D350" t="s">
        <v>14</v>
      </c>
      <c r="E350">
        <v>130</v>
      </c>
    </row>
    <row r="351" spans="1:5" x14ac:dyDescent="0.2">
      <c r="A351" t="s">
        <v>20</v>
      </c>
      <c r="B351">
        <v>55</v>
      </c>
      <c r="D351" t="s">
        <v>14</v>
      </c>
      <c r="E351">
        <v>55</v>
      </c>
    </row>
    <row r="352" spans="1:5" x14ac:dyDescent="0.2">
      <c r="A352" t="s">
        <v>20</v>
      </c>
      <c r="B352">
        <v>128</v>
      </c>
      <c r="D352" t="s">
        <v>14</v>
      </c>
      <c r="E352">
        <v>114</v>
      </c>
    </row>
    <row r="353" spans="1:5" x14ac:dyDescent="0.2">
      <c r="A353" t="s">
        <v>20</v>
      </c>
      <c r="B353">
        <v>2144</v>
      </c>
      <c r="D353" t="s">
        <v>14</v>
      </c>
      <c r="E353">
        <v>594</v>
      </c>
    </row>
    <row r="354" spans="1:5" x14ac:dyDescent="0.2">
      <c r="A354" t="s">
        <v>20</v>
      </c>
      <c r="B354">
        <v>2693</v>
      </c>
      <c r="D354" t="s">
        <v>14</v>
      </c>
      <c r="E354">
        <v>24</v>
      </c>
    </row>
    <row r="355" spans="1:5" x14ac:dyDescent="0.2">
      <c r="A355" t="s">
        <v>20</v>
      </c>
      <c r="B355">
        <v>432</v>
      </c>
      <c r="D355" t="s">
        <v>14</v>
      </c>
      <c r="E355">
        <v>252</v>
      </c>
    </row>
    <row r="356" spans="1:5" x14ac:dyDescent="0.2">
      <c r="A356" t="s">
        <v>20</v>
      </c>
      <c r="B356">
        <v>189</v>
      </c>
      <c r="D356" t="s">
        <v>14</v>
      </c>
      <c r="E356">
        <v>67</v>
      </c>
    </row>
    <row r="357" spans="1:5" x14ac:dyDescent="0.2">
      <c r="A357" t="s">
        <v>20</v>
      </c>
      <c r="B357">
        <v>154</v>
      </c>
      <c r="D357" t="s">
        <v>14</v>
      </c>
      <c r="E357">
        <v>742</v>
      </c>
    </row>
    <row r="358" spans="1:5" x14ac:dyDescent="0.2">
      <c r="A358" t="s">
        <v>20</v>
      </c>
      <c r="B358">
        <v>96</v>
      </c>
      <c r="D358" t="s">
        <v>14</v>
      </c>
      <c r="E358">
        <v>75</v>
      </c>
    </row>
    <row r="359" spans="1:5" x14ac:dyDescent="0.2">
      <c r="A359" t="s">
        <v>20</v>
      </c>
      <c r="B359">
        <v>3063</v>
      </c>
      <c r="D359" t="s">
        <v>14</v>
      </c>
      <c r="E359">
        <v>4405</v>
      </c>
    </row>
    <row r="360" spans="1:5" x14ac:dyDescent="0.2">
      <c r="A360" t="s">
        <v>20</v>
      </c>
      <c r="B360">
        <v>2266</v>
      </c>
      <c r="D360" t="s">
        <v>14</v>
      </c>
      <c r="E360">
        <v>92</v>
      </c>
    </row>
    <row r="361" spans="1:5" x14ac:dyDescent="0.2">
      <c r="A361" t="s">
        <v>20</v>
      </c>
      <c r="B361">
        <v>194</v>
      </c>
      <c r="D361" t="s">
        <v>14</v>
      </c>
      <c r="E361">
        <v>64</v>
      </c>
    </row>
    <row r="362" spans="1:5" x14ac:dyDescent="0.2">
      <c r="A362" t="s">
        <v>20</v>
      </c>
      <c r="B362">
        <v>129</v>
      </c>
      <c r="D362" t="s">
        <v>14</v>
      </c>
      <c r="E362">
        <v>64</v>
      </c>
    </row>
    <row r="363" spans="1:5" x14ac:dyDescent="0.2">
      <c r="A363" t="s">
        <v>20</v>
      </c>
      <c r="B363">
        <v>375</v>
      </c>
      <c r="D363" t="s">
        <v>14</v>
      </c>
      <c r="E363">
        <v>842</v>
      </c>
    </row>
    <row r="364" spans="1:5" x14ac:dyDescent="0.2">
      <c r="A364" t="s">
        <v>20</v>
      </c>
      <c r="B364">
        <v>409</v>
      </c>
      <c r="D364" t="s">
        <v>14</v>
      </c>
      <c r="E364">
        <v>112</v>
      </c>
    </row>
    <row r="365" spans="1:5" x14ac:dyDescent="0.2">
      <c r="A365" t="s">
        <v>20</v>
      </c>
      <c r="B365">
        <v>234</v>
      </c>
      <c r="D365" t="s">
        <v>14</v>
      </c>
      <c r="E365">
        <v>374</v>
      </c>
    </row>
    <row r="366" spans="1:5" x14ac:dyDescent="0.2">
      <c r="A366" t="s">
        <v>20</v>
      </c>
      <c r="B366">
        <v>3016</v>
      </c>
    </row>
    <row r="367" spans="1:5" x14ac:dyDescent="0.2">
      <c r="A367" t="s">
        <v>20</v>
      </c>
      <c r="B367">
        <v>264</v>
      </c>
    </row>
    <row r="368" spans="1:5" x14ac:dyDescent="0.2">
      <c r="A368" t="s">
        <v>20</v>
      </c>
      <c r="B368">
        <v>272</v>
      </c>
    </row>
    <row r="369" spans="1:2" x14ac:dyDescent="0.2">
      <c r="A369" t="s">
        <v>20</v>
      </c>
      <c r="B369">
        <v>419</v>
      </c>
    </row>
    <row r="370" spans="1:2" x14ac:dyDescent="0.2">
      <c r="A370" t="s">
        <v>20</v>
      </c>
      <c r="B370">
        <v>1621</v>
      </c>
    </row>
    <row r="371" spans="1:2" x14ac:dyDescent="0.2">
      <c r="A371" t="s">
        <v>20</v>
      </c>
      <c r="B371">
        <v>1101</v>
      </c>
    </row>
    <row r="372" spans="1:2" x14ac:dyDescent="0.2">
      <c r="A372" t="s">
        <v>20</v>
      </c>
      <c r="B372">
        <v>1073</v>
      </c>
    </row>
    <row r="373" spans="1:2" x14ac:dyDescent="0.2">
      <c r="A373" t="s">
        <v>20</v>
      </c>
      <c r="B373">
        <v>331</v>
      </c>
    </row>
    <row r="374" spans="1:2" x14ac:dyDescent="0.2">
      <c r="A374" t="s">
        <v>20</v>
      </c>
      <c r="B374">
        <v>1170</v>
      </c>
    </row>
    <row r="375" spans="1:2" x14ac:dyDescent="0.2">
      <c r="A375" t="s">
        <v>20</v>
      </c>
      <c r="B375">
        <v>363</v>
      </c>
    </row>
    <row r="376" spans="1:2" x14ac:dyDescent="0.2">
      <c r="A376" t="s">
        <v>20</v>
      </c>
      <c r="B376">
        <v>103</v>
      </c>
    </row>
    <row r="377" spans="1:2" x14ac:dyDescent="0.2">
      <c r="A377" t="s">
        <v>20</v>
      </c>
      <c r="B377">
        <v>147</v>
      </c>
    </row>
    <row r="378" spans="1:2" x14ac:dyDescent="0.2">
      <c r="A378" t="s">
        <v>20</v>
      </c>
      <c r="B378">
        <v>110</v>
      </c>
    </row>
    <row r="379" spans="1:2" x14ac:dyDescent="0.2">
      <c r="A379" t="s">
        <v>20</v>
      </c>
      <c r="B379">
        <v>134</v>
      </c>
    </row>
    <row r="380" spans="1:2" x14ac:dyDescent="0.2">
      <c r="A380" t="s">
        <v>20</v>
      </c>
      <c r="B380">
        <v>269</v>
      </c>
    </row>
    <row r="381" spans="1:2" x14ac:dyDescent="0.2">
      <c r="A381" t="s">
        <v>20</v>
      </c>
      <c r="B381">
        <v>175</v>
      </c>
    </row>
    <row r="382" spans="1:2" x14ac:dyDescent="0.2">
      <c r="A382" t="s">
        <v>20</v>
      </c>
      <c r="B382">
        <v>69</v>
      </c>
    </row>
    <row r="383" spans="1:2" x14ac:dyDescent="0.2">
      <c r="A383" t="s">
        <v>20</v>
      </c>
      <c r="B383">
        <v>190</v>
      </c>
    </row>
    <row r="384" spans="1:2" x14ac:dyDescent="0.2">
      <c r="A384" t="s">
        <v>20</v>
      </c>
      <c r="B384">
        <v>237</v>
      </c>
    </row>
    <row r="385" spans="1:2" x14ac:dyDescent="0.2">
      <c r="A385" t="s">
        <v>20</v>
      </c>
      <c r="B385">
        <v>196</v>
      </c>
    </row>
    <row r="386" spans="1:2" x14ac:dyDescent="0.2">
      <c r="A386" t="s">
        <v>20</v>
      </c>
      <c r="B386">
        <v>7295</v>
      </c>
    </row>
    <row r="387" spans="1:2" x14ac:dyDescent="0.2">
      <c r="A387" t="s">
        <v>20</v>
      </c>
      <c r="B387">
        <v>2893</v>
      </c>
    </row>
    <row r="388" spans="1:2" x14ac:dyDescent="0.2">
      <c r="A388" t="s">
        <v>20</v>
      </c>
      <c r="B388">
        <v>820</v>
      </c>
    </row>
    <row r="389" spans="1:2" x14ac:dyDescent="0.2">
      <c r="A389" t="s">
        <v>20</v>
      </c>
      <c r="B389">
        <v>2038</v>
      </c>
    </row>
    <row r="390" spans="1:2" x14ac:dyDescent="0.2">
      <c r="A390" t="s">
        <v>20</v>
      </c>
      <c r="B390">
        <v>116</v>
      </c>
    </row>
    <row r="391" spans="1:2" x14ac:dyDescent="0.2">
      <c r="A391" t="s">
        <v>20</v>
      </c>
      <c r="B391">
        <v>1345</v>
      </c>
    </row>
    <row r="392" spans="1:2" x14ac:dyDescent="0.2">
      <c r="A392" t="s">
        <v>20</v>
      </c>
      <c r="B392">
        <v>168</v>
      </c>
    </row>
    <row r="393" spans="1:2" x14ac:dyDescent="0.2">
      <c r="A393" t="s">
        <v>20</v>
      </c>
      <c r="B393">
        <v>137</v>
      </c>
    </row>
    <row r="394" spans="1:2" x14ac:dyDescent="0.2">
      <c r="A394" t="s">
        <v>20</v>
      </c>
      <c r="B394">
        <v>186</v>
      </c>
    </row>
    <row r="395" spans="1:2" x14ac:dyDescent="0.2">
      <c r="A395" t="s">
        <v>20</v>
      </c>
      <c r="B395">
        <v>125</v>
      </c>
    </row>
    <row r="396" spans="1:2" x14ac:dyDescent="0.2">
      <c r="A396" t="s">
        <v>20</v>
      </c>
      <c r="B396">
        <v>202</v>
      </c>
    </row>
    <row r="397" spans="1:2" x14ac:dyDescent="0.2">
      <c r="A397" t="s">
        <v>20</v>
      </c>
      <c r="B397">
        <v>103</v>
      </c>
    </row>
    <row r="398" spans="1:2" x14ac:dyDescent="0.2">
      <c r="A398" t="s">
        <v>20</v>
      </c>
      <c r="B398">
        <v>1785</v>
      </c>
    </row>
    <row r="399" spans="1:2" x14ac:dyDescent="0.2">
      <c r="A399" t="s">
        <v>20</v>
      </c>
      <c r="B399">
        <v>157</v>
      </c>
    </row>
    <row r="400" spans="1:2" x14ac:dyDescent="0.2">
      <c r="A400" t="s">
        <v>20</v>
      </c>
      <c r="B400">
        <v>555</v>
      </c>
    </row>
    <row r="401" spans="1:2" x14ac:dyDescent="0.2">
      <c r="A401" t="s">
        <v>20</v>
      </c>
      <c r="B401">
        <v>297</v>
      </c>
    </row>
    <row r="402" spans="1:2" x14ac:dyDescent="0.2">
      <c r="A402" t="s">
        <v>20</v>
      </c>
      <c r="B402">
        <v>123</v>
      </c>
    </row>
    <row r="403" spans="1:2" x14ac:dyDescent="0.2">
      <c r="A403" t="s">
        <v>20</v>
      </c>
      <c r="B403">
        <v>3036</v>
      </c>
    </row>
    <row r="404" spans="1:2" x14ac:dyDescent="0.2">
      <c r="A404" t="s">
        <v>20</v>
      </c>
      <c r="B404">
        <v>144</v>
      </c>
    </row>
    <row r="405" spans="1:2" x14ac:dyDescent="0.2">
      <c r="A405" t="s">
        <v>20</v>
      </c>
      <c r="B405">
        <v>121</v>
      </c>
    </row>
    <row r="406" spans="1:2" x14ac:dyDescent="0.2">
      <c r="A406" t="s">
        <v>20</v>
      </c>
      <c r="B406">
        <v>181</v>
      </c>
    </row>
    <row r="407" spans="1:2" x14ac:dyDescent="0.2">
      <c r="A407" t="s">
        <v>20</v>
      </c>
      <c r="B407">
        <v>122</v>
      </c>
    </row>
    <row r="408" spans="1:2" x14ac:dyDescent="0.2">
      <c r="A408" t="s">
        <v>20</v>
      </c>
      <c r="B408">
        <v>1071</v>
      </c>
    </row>
    <row r="409" spans="1:2" x14ac:dyDescent="0.2">
      <c r="A409" t="s">
        <v>20</v>
      </c>
      <c r="B409">
        <v>980</v>
      </c>
    </row>
    <row r="410" spans="1:2" x14ac:dyDescent="0.2">
      <c r="A410" t="s">
        <v>20</v>
      </c>
      <c r="B410">
        <v>536</v>
      </c>
    </row>
    <row r="411" spans="1:2" x14ac:dyDescent="0.2">
      <c r="A411" t="s">
        <v>20</v>
      </c>
      <c r="B411">
        <v>1991</v>
      </c>
    </row>
    <row r="412" spans="1:2" x14ac:dyDescent="0.2">
      <c r="A412" t="s">
        <v>20</v>
      </c>
      <c r="B412">
        <v>180</v>
      </c>
    </row>
    <row r="413" spans="1:2" x14ac:dyDescent="0.2">
      <c r="A413" t="s">
        <v>20</v>
      </c>
      <c r="B413">
        <v>130</v>
      </c>
    </row>
    <row r="414" spans="1:2" x14ac:dyDescent="0.2">
      <c r="A414" t="s">
        <v>20</v>
      </c>
      <c r="B414">
        <v>122</v>
      </c>
    </row>
    <row r="415" spans="1:2" x14ac:dyDescent="0.2">
      <c r="A415" t="s">
        <v>20</v>
      </c>
      <c r="B415">
        <v>140</v>
      </c>
    </row>
    <row r="416" spans="1:2" x14ac:dyDescent="0.2">
      <c r="A416" t="s">
        <v>20</v>
      </c>
      <c r="B416">
        <v>3388</v>
      </c>
    </row>
    <row r="417" spans="1:2" x14ac:dyDescent="0.2">
      <c r="A417" t="s">
        <v>20</v>
      </c>
      <c r="B417">
        <v>280</v>
      </c>
    </row>
    <row r="418" spans="1:2" x14ac:dyDescent="0.2">
      <c r="A418" t="s">
        <v>20</v>
      </c>
      <c r="B418">
        <v>366</v>
      </c>
    </row>
    <row r="419" spans="1:2" x14ac:dyDescent="0.2">
      <c r="A419" t="s">
        <v>20</v>
      </c>
      <c r="B419">
        <v>270</v>
      </c>
    </row>
    <row r="420" spans="1:2" x14ac:dyDescent="0.2">
      <c r="A420" t="s">
        <v>20</v>
      </c>
      <c r="B420">
        <v>137</v>
      </c>
    </row>
    <row r="421" spans="1:2" x14ac:dyDescent="0.2">
      <c r="A421" t="s">
        <v>20</v>
      </c>
      <c r="B421">
        <v>3205</v>
      </c>
    </row>
    <row r="422" spans="1:2" x14ac:dyDescent="0.2">
      <c r="A422" t="s">
        <v>20</v>
      </c>
      <c r="B422">
        <v>288</v>
      </c>
    </row>
    <row r="423" spans="1:2" x14ac:dyDescent="0.2">
      <c r="A423" t="s">
        <v>20</v>
      </c>
      <c r="B423">
        <v>148</v>
      </c>
    </row>
    <row r="424" spans="1:2" x14ac:dyDescent="0.2">
      <c r="A424" t="s">
        <v>20</v>
      </c>
      <c r="B424">
        <v>114</v>
      </c>
    </row>
    <row r="425" spans="1:2" x14ac:dyDescent="0.2">
      <c r="A425" t="s">
        <v>20</v>
      </c>
      <c r="B425">
        <v>1518</v>
      </c>
    </row>
    <row r="426" spans="1:2" x14ac:dyDescent="0.2">
      <c r="A426" t="s">
        <v>20</v>
      </c>
      <c r="B426">
        <v>166</v>
      </c>
    </row>
    <row r="427" spans="1:2" x14ac:dyDescent="0.2">
      <c r="A427" t="s">
        <v>20</v>
      </c>
      <c r="B427">
        <v>100</v>
      </c>
    </row>
    <row r="428" spans="1:2" x14ac:dyDescent="0.2">
      <c r="A428" t="s">
        <v>20</v>
      </c>
      <c r="B428">
        <v>235</v>
      </c>
    </row>
    <row r="429" spans="1:2" x14ac:dyDescent="0.2">
      <c r="A429" t="s">
        <v>20</v>
      </c>
      <c r="B429">
        <v>148</v>
      </c>
    </row>
    <row r="430" spans="1:2" x14ac:dyDescent="0.2">
      <c r="A430" t="s">
        <v>20</v>
      </c>
      <c r="B430">
        <v>198</v>
      </c>
    </row>
    <row r="431" spans="1:2" x14ac:dyDescent="0.2">
      <c r="A431" t="s">
        <v>20</v>
      </c>
      <c r="B431">
        <v>150</v>
      </c>
    </row>
    <row r="432" spans="1:2" x14ac:dyDescent="0.2">
      <c r="A432" t="s">
        <v>20</v>
      </c>
      <c r="B432">
        <v>216</v>
      </c>
    </row>
    <row r="433" spans="1:2" x14ac:dyDescent="0.2">
      <c r="A433" t="s">
        <v>20</v>
      </c>
      <c r="B433">
        <v>5139</v>
      </c>
    </row>
    <row r="434" spans="1:2" x14ac:dyDescent="0.2">
      <c r="A434" t="s">
        <v>20</v>
      </c>
      <c r="B434">
        <v>2353</v>
      </c>
    </row>
    <row r="435" spans="1:2" x14ac:dyDescent="0.2">
      <c r="A435" t="s">
        <v>20</v>
      </c>
      <c r="B435">
        <v>78</v>
      </c>
    </row>
    <row r="436" spans="1:2" x14ac:dyDescent="0.2">
      <c r="A436" t="s">
        <v>20</v>
      </c>
      <c r="B436">
        <v>174</v>
      </c>
    </row>
    <row r="437" spans="1:2" x14ac:dyDescent="0.2">
      <c r="A437" t="s">
        <v>20</v>
      </c>
      <c r="B437">
        <v>164</v>
      </c>
    </row>
    <row r="438" spans="1:2" x14ac:dyDescent="0.2">
      <c r="A438" t="s">
        <v>20</v>
      </c>
      <c r="B438">
        <v>161</v>
      </c>
    </row>
    <row r="439" spans="1:2" x14ac:dyDescent="0.2">
      <c r="A439" t="s">
        <v>20</v>
      </c>
      <c r="B439">
        <v>138</v>
      </c>
    </row>
    <row r="440" spans="1:2" x14ac:dyDescent="0.2">
      <c r="A440" t="s">
        <v>20</v>
      </c>
      <c r="B440">
        <v>3308</v>
      </c>
    </row>
    <row r="441" spans="1:2" x14ac:dyDescent="0.2">
      <c r="A441" t="s">
        <v>20</v>
      </c>
      <c r="B441">
        <v>127</v>
      </c>
    </row>
    <row r="442" spans="1:2" x14ac:dyDescent="0.2">
      <c r="A442" t="s">
        <v>20</v>
      </c>
      <c r="B442">
        <v>207</v>
      </c>
    </row>
    <row r="443" spans="1:2" x14ac:dyDescent="0.2">
      <c r="A443" t="s">
        <v>20</v>
      </c>
      <c r="B443">
        <v>181</v>
      </c>
    </row>
    <row r="444" spans="1:2" x14ac:dyDescent="0.2">
      <c r="A444" t="s">
        <v>20</v>
      </c>
      <c r="B444">
        <v>110</v>
      </c>
    </row>
    <row r="445" spans="1:2" x14ac:dyDescent="0.2">
      <c r="A445" t="s">
        <v>20</v>
      </c>
      <c r="B445">
        <v>185</v>
      </c>
    </row>
    <row r="446" spans="1:2" x14ac:dyDescent="0.2">
      <c r="A446" t="s">
        <v>20</v>
      </c>
      <c r="B446">
        <v>121</v>
      </c>
    </row>
    <row r="447" spans="1:2" x14ac:dyDescent="0.2">
      <c r="A447" t="s">
        <v>20</v>
      </c>
      <c r="B447">
        <v>106</v>
      </c>
    </row>
    <row r="448" spans="1:2" x14ac:dyDescent="0.2">
      <c r="A448" t="s">
        <v>20</v>
      </c>
      <c r="B448">
        <v>142</v>
      </c>
    </row>
    <row r="449" spans="1:2" x14ac:dyDescent="0.2">
      <c r="A449" t="s">
        <v>20</v>
      </c>
      <c r="B449">
        <v>233</v>
      </c>
    </row>
    <row r="450" spans="1:2" x14ac:dyDescent="0.2">
      <c r="A450" t="s">
        <v>20</v>
      </c>
      <c r="B450">
        <v>218</v>
      </c>
    </row>
    <row r="451" spans="1:2" x14ac:dyDescent="0.2">
      <c r="A451" t="s">
        <v>20</v>
      </c>
      <c r="B451">
        <v>76</v>
      </c>
    </row>
    <row r="452" spans="1:2" x14ac:dyDescent="0.2">
      <c r="A452" t="s">
        <v>20</v>
      </c>
      <c r="B452">
        <v>43</v>
      </c>
    </row>
    <row r="453" spans="1:2" x14ac:dyDescent="0.2">
      <c r="A453" t="s">
        <v>20</v>
      </c>
      <c r="B453">
        <v>221</v>
      </c>
    </row>
    <row r="454" spans="1:2" x14ac:dyDescent="0.2">
      <c r="A454" t="s">
        <v>20</v>
      </c>
      <c r="B454">
        <v>2805</v>
      </c>
    </row>
    <row r="455" spans="1:2" x14ac:dyDescent="0.2">
      <c r="A455" t="s">
        <v>20</v>
      </c>
      <c r="B455">
        <v>68</v>
      </c>
    </row>
    <row r="456" spans="1:2" x14ac:dyDescent="0.2">
      <c r="A456" t="s">
        <v>20</v>
      </c>
      <c r="B456">
        <v>183</v>
      </c>
    </row>
    <row r="457" spans="1:2" x14ac:dyDescent="0.2">
      <c r="A457" t="s">
        <v>20</v>
      </c>
      <c r="B457">
        <v>133</v>
      </c>
    </row>
    <row r="458" spans="1:2" x14ac:dyDescent="0.2">
      <c r="A458" t="s">
        <v>20</v>
      </c>
      <c r="B458">
        <v>2489</v>
      </c>
    </row>
    <row r="459" spans="1:2" x14ac:dyDescent="0.2">
      <c r="A459" t="s">
        <v>20</v>
      </c>
      <c r="B459">
        <v>69</v>
      </c>
    </row>
    <row r="460" spans="1:2" x14ac:dyDescent="0.2">
      <c r="A460" t="s">
        <v>20</v>
      </c>
      <c r="B460">
        <v>279</v>
      </c>
    </row>
    <row r="461" spans="1:2" x14ac:dyDescent="0.2">
      <c r="A461" t="s">
        <v>20</v>
      </c>
      <c r="B461">
        <v>210</v>
      </c>
    </row>
    <row r="462" spans="1:2" x14ac:dyDescent="0.2">
      <c r="A462" t="s">
        <v>20</v>
      </c>
      <c r="B462">
        <v>2100</v>
      </c>
    </row>
    <row r="463" spans="1:2" x14ac:dyDescent="0.2">
      <c r="A463" t="s">
        <v>20</v>
      </c>
      <c r="B463">
        <v>252</v>
      </c>
    </row>
    <row r="464" spans="1:2" x14ac:dyDescent="0.2">
      <c r="A464" t="s">
        <v>20</v>
      </c>
      <c r="B464">
        <v>1280</v>
      </c>
    </row>
    <row r="465" spans="1:2" x14ac:dyDescent="0.2">
      <c r="A465" t="s">
        <v>20</v>
      </c>
      <c r="B465">
        <v>157</v>
      </c>
    </row>
    <row r="466" spans="1:2" x14ac:dyDescent="0.2">
      <c r="A466" t="s">
        <v>20</v>
      </c>
      <c r="B466">
        <v>194</v>
      </c>
    </row>
    <row r="467" spans="1:2" x14ac:dyDescent="0.2">
      <c r="A467" t="s">
        <v>20</v>
      </c>
      <c r="B467">
        <v>82</v>
      </c>
    </row>
    <row r="468" spans="1:2" x14ac:dyDescent="0.2">
      <c r="A468" t="s">
        <v>20</v>
      </c>
      <c r="B468">
        <v>4233</v>
      </c>
    </row>
    <row r="469" spans="1:2" x14ac:dyDescent="0.2">
      <c r="A469" t="s">
        <v>20</v>
      </c>
      <c r="B469">
        <v>1297</v>
      </c>
    </row>
    <row r="470" spans="1:2" x14ac:dyDescent="0.2">
      <c r="A470" t="s">
        <v>20</v>
      </c>
      <c r="B470">
        <v>165</v>
      </c>
    </row>
    <row r="471" spans="1:2" x14ac:dyDescent="0.2">
      <c r="A471" t="s">
        <v>20</v>
      </c>
      <c r="B471">
        <v>119</v>
      </c>
    </row>
    <row r="472" spans="1:2" x14ac:dyDescent="0.2">
      <c r="A472" t="s">
        <v>20</v>
      </c>
      <c r="B472">
        <v>1797</v>
      </c>
    </row>
    <row r="473" spans="1:2" x14ac:dyDescent="0.2">
      <c r="A473" t="s">
        <v>20</v>
      </c>
      <c r="B473">
        <v>261</v>
      </c>
    </row>
    <row r="474" spans="1:2" x14ac:dyDescent="0.2">
      <c r="A474" t="s">
        <v>20</v>
      </c>
      <c r="B474">
        <v>157</v>
      </c>
    </row>
    <row r="475" spans="1:2" x14ac:dyDescent="0.2">
      <c r="A475" t="s">
        <v>20</v>
      </c>
      <c r="B475">
        <v>3533</v>
      </c>
    </row>
    <row r="476" spans="1:2" x14ac:dyDescent="0.2">
      <c r="A476" t="s">
        <v>20</v>
      </c>
      <c r="B476">
        <v>155</v>
      </c>
    </row>
    <row r="477" spans="1:2" x14ac:dyDescent="0.2">
      <c r="A477" t="s">
        <v>20</v>
      </c>
      <c r="B477">
        <v>132</v>
      </c>
    </row>
    <row r="478" spans="1:2" x14ac:dyDescent="0.2">
      <c r="A478" t="s">
        <v>20</v>
      </c>
      <c r="B478">
        <v>1354</v>
      </c>
    </row>
    <row r="479" spans="1:2" x14ac:dyDescent="0.2">
      <c r="A479" t="s">
        <v>20</v>
      </c>
      <c r="B479">
        <v>48</v>
      </c>
    </row>
    <row r="480" spans="1:2" x14ac:dyDescent="0.2">
      <c r="A480" t="s">
        <v>20</v>
      </c>
      <c r="B480">
        <v>110</v>
      </c>
    </row>
    <row r="481" spans="1:2" x14ac:dyDescent="0.2">
      <c r="A481" t="s">
        <v>20</v>
      </c>
      <c r="B481">
        <v>172</v>
      </c>
    </row>
    <row r="482" spans="1:2" x14ac:dyDescent="0.2">
      <c r="A482" t="s">
        <v>20</v>
      </c>
      <c r="B482">
        <v>307</v>
      </c>
    </row>
    <row r="483" spans="1:2" x14ac:dyDescent="0.2">
      <c r="A483" t="s">
        <v>20</v>
      </c>
      <c r="B483">
        <v>160</v>
      </c>
    </row>
    <row r="484" spans="1:2" x14ac:dyDescent="0.2">
      <c r="A484" t="s">
        <v>20</v>
      </c>
      <c r="B484">
        <v>1467</v>
      </c>
    </row>
    <row r="485" spans="1:2" x14ac:dyDescent="0.2">
      <c r="A485" t="s">
        <v>20</v>
      </c>
      <c r="B485">
        <v>2662</v>
      </c>
    </row>
    <row r="486" spans="1:2" x14ac:dyDescent="0.2">
      <c r="A486" t="s">
        <v>20</v>
      </c>
      <c r="B486">
        <v>452</v>
      </c>
    </row>
    <row r="487" spans="1:2" x14ac:dyDescent="0.2">
      <c r="A487" t="s">
        <v>20</v>
      </c>
      <c r="B487">
        <v>158</v>
      </c>
    </row>
    <row r="488" spans="1:2" x14ac:dyDescent="0.2">
      <c r="A488" t="s">
        <v>20</v>
      </c>
      <c r="B488">
        <v>225</v>
      </c>
    </row>
    <row r="489" spans="1:2" x14ac:dyDescent="0.2">
      <c r="A489" t="s">
        <v>20</v>
      </c>
      <c r="B489">
        <v>65</v>
      </c>
    </row>
    <row r="490" spans="1:2" x14ac:dyDescent="0.2">
      <c r="A490" t="s">
        <v>20</v>
      </c>
      <c r="B490">
        <v>163</v>
      </c>
    </row>
    <row r="491" spans="1:2" x14ac:dyDescent="0.2">
      <c r="A491" t="s">
        <v>20</v>
      </c>
      <c r="B491">
        <v>85</v>
      </c>
    </row>
    <row r="492" spans="1:2" x14ac:dyDescent="0.2">
      <c r="A492" t="s">
        <v>20</v>
      </c>
      <c r="B492">
        <v>217</v>
      </c>
    </row>
    <row r="493" spans="1:2" x14ac:dyDescent="0.2">
      <c r="A493" t="s">
        <v>20</v>
      </c>
      <c r="B493">
        <v>150</v>
      </c>
    </row>
    <row r="494" spans="1:2" x14ac:dyDescent="0.2">
      <c r="A494" t="s">
        <v>20</v>
      </c>
      <c r="B494">
        <v>3272</v>
      </c>
    </row>
    <row r="495" spans="1:2" x14ac:dyDescent="0.2">
      <c r="A495" t="s">
        <v>20</v>
      </c>
      <c r="B495">
        <v>300</v>
      </c>
    </row>
    <row r="496" spans="1:2" x14ac:dyDescent="0.2">
      <c r="A496" t="s">
        <v>20</v>
      </c>
      <c r="B496">
        <v>126</v>
      </c>
    </row>
    <row r="497" spans="1:2" x14ac:dyDescent="0.2">
      <c r="A497" t="s">
        <v>20</v>
      </c>
      <c r="B497">
        <v>2320</v>
      </c>
    </row>
    <row r="498" spans="1:2" x14ac:dyDescent="0.2">
      <c r="A498" t="s">
        <v>20</v>
      </c>
      <c r="B498">
        <v>81</v>
      </c>
    </row>
    <row r="499" spans="1:2" x14ac:dyDescent="0.2">
      <c r="A499" t="s">
        <v>20</v>
      </c>
      <c r="B499">
        <v>1887</v>
      </c>
    </row>
    <row r="500" spans="1:2" x14ac:dyDescent="0.2">
      <c r="A500" t="s">
        <v>20</v>
      </c>
      <c r="B500">
        <v>4358</v>
      </c>
    </row>
    <row r="501" spans="1:2" x14ac:dyDescent="0.2">
      <c r="A501" t="s">
        <v>20</v>
      </c>
      <c r="B501">
        <v>53</v>
      </c>
    </row>
    <row r="502" spans="1:2" x14ac:dyDescent="0.2">
      <c r="A502" t="s">
        <v>20</v>
      </c>
      <c r="B502">
        <v>2414</v>
      </c>
    </row>
    <row r="503" spans="1:2" x14ac:dyDescent="0.2">
      <c r="A503" t="s">
        <v>20</v>
      </c>
      <c r="B503">
        <v>80</v>
      </c>
    </row>
    <row r="504" spans="1:2" x14ac:dyDescent="0.2">
      <c r="A504" t="s">
        <v>20</v>
      </c>
      <c r="B504">
        <v>193</v>
      </c>
    </row>
    <row r="505" spans="1:2" x14ac:dyDescent="0.2">
      <c r="A505" t="s">
        <v>20</v>
      </c>
      <c r="B505">
        <v>52</v>
      </c>
    </row>
    <row r="506" spans="1:2" x14ac:dyDescent="0.2">
      <c r="A506" t="s">
        <v>20</v>
      </c>
      <c r="B506">
        <v>290</v>
      </c>
    </row>
    <row r="507" spans="1:2" x14ac:dyDescent="0.2">
      <c r="A507" t="s">
        <v>20</v>
      </c>
      <c r="B507">
        <v>122</v>
      </c>
    </row>
    <row r="508" spans="1:2" x14ac:dyDescent="0.2">
      <c r="A508" t="s">
        <v>20</v>
      </c>
      <c r="B508">
        <v>1470</v>
      </c>
    </row>
    <row r="509" spans="1:2" x14ac:dyDescent="0.2">
      <c r="A509" t="s">
        <v>20</v>
      </c>
      <c r="B509">
        <v>165</v>
      </c>
    </row>
    <row r="510" spans="1:2" x14ac:dyDescent="0.2">
      <c r="A510" t="s">
        <v>20</v>
      </c>
      <c r="B510">
        <v>182</v>
      </c>
    </row>
    <row r="511" spans="1:2" x14ac:dyDescent="0.2">
      <c r="A511" t="s">
        <v>20</v>
      </c>
      <c r="B511">
        <v>199</v>
      </c>
    </row>
    <row r="512" spans="1:2" x14ac:dyDescent="0.2">
      <c r="A512" t="s">
        <v>20</v>
      </c>
      <c r="B512">
        <v>56</v>
      </c>
    </row>
    <row r="513" spans="1:2" x14ac:dyDescent="0.2">
      <c r="A513" t="s">
        <v>20</v>
      </c>
      <c r="B513">
        <v>1460</v>
      </c>
    </row>
    <row r="514" spans="1:2" x14ac:dyDescent="0.2">
      <c r="A514" t="s">
        <v>20</v>
      </c>
      <c r="B514">
        <v>123</v>
      </c>
    </row>
    <row r="515" spans="1:2" x14ac:dyDescent="0.2">
      <c r="A515" t="s">
        <v>20</v>
      </c>
      <c r="B515">
        <v>159</v>
      </c>
    </row>
    <row r="516" spans="1:2" x14ac:dyDescent="0.2">
      <c r="A516" t="s">
        <v>20</v>
      </c>
      <c r="B516">
        <v>110</v>
      </c>
    </row>
    <row r="517" spans="1:2" x14ac:dyDescent="0.2">
      <c r="A517" t="s">
        <v>20</v>
      </c>
      <c r="B517">
        <v>236</v>
      </c>
    </row>
    <row r="518" spans="1:2" x14ac:dyDescent="0.2">
      <c r="A518" t="s">
        <v>20</v>
      </c>
      <c r="B518">
        <v>191</v>
      </c>
    </row>
    <row r="519" spans="1:2" x14ac:dyDescent="0.2">
      <c r="A519" t="s">
        <v>20</v>
      </c>
      <c r="B519">
        <v>3934</v>
      </c>
    </row>
    <row r="520" spans="1:2" x14ac:dyDescent="0.2">
      <c r="A520" t="s">
        <v>20</v>
      </c>
      <c r="B520">
        <v>80</v>
      </c>
    </row>
    <row r="521" spans="1:2" x14ac:dyDescent="0.2">
      <c r="A521" t="s">
        <v>20</v>
      </c>
      <c r="B521">
        <v>462</v>
      </c>
    </row>
    <row r="522" spans="1:2" x14ac:dyDescent="0.2">
      <c r="A522" t="s">
        <v>20</v>
      </c>
      <c r="B522">
        <v>179</v>
      </c>
    </row>
    <row r="523" spans="1:2" x14ac:dyDescent="0.2">
      <c r="A523" t="s">
        <v>20</v>
      </c>
      <c r="B523">
        <v>1866</v>
      </c>
    </row>
    <row r="524" spans="1:2" x14ac:dyDescent="0.2">
      <c r="A524" t="s">
        <v>20</v>
      </c>
      <c r="B524">
        <v>156</v>
      </c>
    </row>
    <row r="525" spans="1:2" x14ac:dyDescent="0.2">
      <c r="A525" t="s">
        <v>20</v>
      </c>
      <c r="B525">
        <v>255</v>
      </c>
    </row>
    <row r="526" spans="1:2" x14ac:dyDescent="0.2">
      <c r="A526" t="s">
        <v>20</v>
      </c>
      <c r="B526">
        <v>2261</v>
      </c>
    </row>
    <row r="527" spans="1:2" x14ac:dyDescent="0.2">
      <c r="A527" t="s">
        <v>20</v>
      </c>
      <c r="B527">
        <v>40</v>
      </c>
    </row>
    <row r="528" spans="1:2" x14ac:dyDescent="0.2">
      <c r="A528" t="s">
        <v>20</v>
      </c>
      <c r="B528">
        <v>2289</v>
      </c>
    </row>
    <row r="529" spans="1:2" x14ac:dyDescent="0.2">
      <c r="A529" t="s">
        <v>20</v>
      </c>
      <c r="B529">
        <v>65</v>
      </c>
    </row>
    <row r="530" spans="1:2" x14ac:dyDescent="0.2">
      <c r="A530" t="s">
        <v>20</v>
      </c>
      <c r="B530">
        <v>3777</v>
      </c>
    </row>
    <row r="531" spans="1:2" x14ac:dyDescent="0.2">
      <c r="A531" t="s">
        <v>20</v>
      </c>
      <c r="B531">
        <v>184</v>
      </c>
    </row>
    <row r="532" spans="1:2" x14ac:dyDescent="0.2">
      <c r="A532" t="s">
        <v>20</v>
      </c>
      <c r="B532">
        <v>85</v>
      </c>
    </row>
    <row r="533" spans="1:2" x14ac:dyDescent="0.2">
      <c r="A533" t="s">
        <v>20</v>
      </c>
      <c r="B533">
        <v>144</v>
      </c>
    </row>
    <row r="534" spans="1:2" x14ac:dyDescent="0.2">
      <c r="A534" t="s">
        <v>20</v>
      </c>
      <c r="B534">
        <v>1902</v>
      </c>
    </row>
    <row r="535" spans="1:2" x14ac:dyDescent="0.2">
      <c r="A535" t="s">
        <v>20</v>
      </c>
      <c r="B535">
        <v>105</v>
      </c>
    </row>
    <row r="536" spans="1:2" x14ac:dyDescent="0.2">
      <c r="A536" t="s">
        <v>20</v>
      </c>
      <c r="B536">
        <v>132</v>
      </c>
    </row>
    <row r="537" spans="1:2" x14ac:dyDescent="0.2">
      <c r="A537" t="s">
        <v>20</v>
      </c>
      <c r="B537">
        <v>96</v>
      </c>
    </row>
    <row r="538" spans="1:2" x14ac:dyDescent="0.2">
      <c r="A538" t="s">
        <v>20</v>
      </c>
      <c r="B538">
        <v>114</v>
      </c>
    </row>
    <row r="539" spans="1:2" x14ac:dyDescent="0.2">
      <c r="A539" t="s">
        <v>20</v>
      </c>
      <c r="B539">
        <v>203</v>
      </c>
    </row>
    <row r="540" spans="1:2" x14ac:dyDescent="0.2">
      <c r="A540" t="s">
        <v>20</v>
      </c>
      <c r="B540">
        <v>1559</v>
      </c>
    </row>
    <row r="541" spans="1:2" x14ac:dyDescent="0.2">
      <c r="A541" t="s">
        <v>20</v>
      </c>
      <c r="B541">
        <v>1548</v>
      </c>
    </row>
    <row r="542" spans="1:2" x14ac:dyDescent="0.2">
      <c r="A542" t="s">
        <v>20</v>
      </c>
      <c r="B542">
        <v>80</v>
      </c>
    </row>
    <row r="543" spans="1:2" x14ac:dyDescent="0.2">
      <c r="A543" t="s">
        <v>20</v>
      </c>
      <c r="B543">
        <v>131</v>
      </c>
    </row>
    <row r="544" spans="1:2" x14ac:dyDescent="0.2">
      <c r="A544" t="s">
        <v>20</v>
      </c>
      <c r="B544">
        <v>112</v>
      </c>
    </row>
    <row r="545" spans="1:2" x14ac:dyDescent="0.2">
      <c r="A545" t="s">
        <v>20</v>
      </c>
      <c r="B545">
        <v>155</v>
      </c>
    </row>
    <row r="546" spans="1:2" x14ac:dyDescent="0.2">
      <c r="A546" t="s">
        <v>20</v>
      </c>
      <c r="B546">
        <v>266</v>
      </c>
    </row>
    <row r="547" spans="1:2" x14ac:dyDescent="0.2">
      <c r="A547" t="s">
        <v>20</v>
      </c>
      <c r="B547">
        <v>155</v>
      </c>
    </row>
    <row r="548" spans="1:2" x14ac:dyDescent="0.2">
      <c r="A548" t="s">
        <v>20</v>
      </c>
      <c r="B548">
        <v>207</v>
      </c>
    </row>
    <row r="549" spans="1:2" x14ac:dyDescent="0.2">
      <c r="A549" t="s">
        <v>20</v>
      </c>
      <c r="B549">
        <v>245</v>
      </c>
    </row>
    <row r="550" spans="1:2" x14ac:dyDescent="0.2">
      <c r="A550" t="s">
        <v>20</v>
      </c>
      <c r="B550">
        <v>1573</v>
      </c>
    </row>
    <row r="551" spans="1:2" x14ac:dyDescent="0.2">
      <c r="A551" t="s">
        <v>20</v>
      </c>
      <c r="B551">
        <v>114</v>
      </c>
    </row>
    <row r="552" spans="1:2" x14ac:dyDescent="0.2">
      <c r="A552" t="s">
        <v>20</v>
      </c>
      <c r="B552">
        <v>93</v>
      </c>
    </row>
    <row r="553" spans="1:2" x14ac:dyDescent="0.2">
      <c r="A553" t="s">
        <v>20</v>
      </c>
      <c r="B553">
        <v>1681</v>
      </c>
    </row>
    <row r="554" spans="1:2" x14ac:dyDescent="0.2">
      <c r="A554" t="s">
        <v>20</v>
      </c>
      <c r="B554">
        <v>32</v>
      </c>
    </row>
    <row r="555" spans="1:2" x14ac:dyDescent="0.2">
      <c r="A555" t="s">
        <v>20</v>
      </c>
      <c r="B555">
        <v>135</v>
      </c>
    </row>
    <row r="556" spans="1:2" x14ac:dyDescent="0.2">
      <c r="A556" t="s">
        <v>20</v>
      </c>
      <c r="B556">
        <v>140</v>
      </c>
    </row>
    <row r="557" spans="1:2" x14ac:dyDescent="0.2">
      <c r="A557" t="s">
        <v>20</v>
      </c>
      <c r="B557">
        <v>92</v>
      </c>
    </row>
    <row r="558" spans="1:2" x14ac:dyDescent="0.2">
      <c r="A558" t="s">
        <v>20</v>
      </c>
      <c r="B558">
        <v>1015</v>
      </c>
    </row>
    <row r="559" spans="1:2" x14ac:dyDescent="0.2">
      <c r="A559" t="s">
        <v>20</v>
      </c>
      <c r="B559">
        <v>323</v>
      </c>
    </row>
    <row r="560" spans="1:2" x14ac:dyDescent="0.2">
      <c r="A560" t="s">
        <v>20</v>
      </c>
      <c r="B560">
        <v>2326</v>
      </c>
    </row>
    <row r="561" spans="1:2" x14ac:dyDescent="0.2">
      <c r="A561" t="s">
        <v>20</v>
      </c>
      <c r="B561">
        <v>381</v>
      </c>
    </row>
    <row r="562" spans="1:2" x14ac:dyDescent="0.2">
      <c r="A562" t="s">
        <v>20</v>
      </c>
      <c r="B562">
        <v>480</v>
      </c>
    </row>
    <row r="563" spans="1:2" x14ac:dyDescent="0.2">
      <c r="A563" t="s">
        <v>20</v>
      </c>
      <c r="B563">
        <v>226</v>
      </c>
    </row>
    <row r="564" spans="1:2" x14ac:dyDescent="0.2">
      <c r="A564" t="s">
        <v>20</v>
      </c>
      <c r="B564">
        <v>241</v>
      </c>
    </row>
    <row r="565" spans="1:2" x14ac:dyDescent="0.2">
      <c r="A565" t="s">
        <v>20</v>
      </c>
      <c r="B565">
        <v>132</v>
      </c>
    </row>
    <row r="566" spans="1:2" x14ac:dyDescent="0.2">
      <c r="A566" t="s">
        <v>20</v>
      </c>
      <c r="B566">
        <v>2043</v>
      </c>
    </row>
  </sheetData>
  <mergeCells count="1">
    <mergeCell ref="I2:J2"/>
  </mergeCells>
  <conditionalFormatting sqref="A1:A1048141">
    <cfRule type="containsText" dxfId="15" priority="13" stopIfTrue="1" operator="containsText" text="live">
      <formula>NOT(ISERROR(SEARCH("live",A1)))</formula>
    </cfRule>
    <cfRule type="containsText" dxfId="14" priority="14" stopIfTrue="1" operator="containsText" text="canceled">
      <formula>NOT(ISERROR(SEARCH("canceled",A1)))</formula>
    </cfRule>
    <cfRule type="containsText" dxfId="13" priority="15" operator="containsText" text="failed">
      <formula>NOT(ISERROR(SEARCH("failed",A1)))</formula>
    </cfRule>
    <cfRule type="containsText" dxfId="12" priority="16" operator="containsText" text="successful">
      <formula>NOT(ISERROR(SEARCH("successful",A1)))</formula>
    </cfRule>
  </conditionalFormatting>
  <conditionalFormatting sqref="D1:D1047940">
    <cfRule type="containsText" dxfId="11" priority="21" stopIfTrue="1" operator="containsText" text="live">
      <formula>NOT(ISERROR(SEARCH("live",D1)))</formula>
    </cfRule>
    <cfRule type="containsText" dxfId="10" priority="22" stopIfTrue="1" operator="containsText" text="canceled">
      <formula>NOT(ISERROR(SEARCH("canceled",D1)))</formula>
    </cfRule>
    <cfRule type="containsText" dxfId="9" priority="23" operator="containsText" text="failed">
      <formula>NOT(ISERROR(SEARCH("failed",D1)))</formula>
    </cfRule>
    <cfRule type="containsText" dxfId="8" priority="24" operator="containsText" text="successful">
      <formula>NOT(ISERROR(SEARCH("successful",D1)))</formula>
    </cfRule>
  </conditionalFormatting>
  <conditionalFormatting sqref="I2">
    <cfRule type="containsText" dxfId="7" priority="1" stopIfTrue="1" operator="containsText" text="live">
      <formula>NOT(ISERROR(SEARCH("live",I2)))</formula>
    </cfRule>
    <cfRule type="containsText" dxfId="6" priority="2" stopIfTrue="1" operator="containsText" text="canceled">
      <formula>NOT(ISERROR(SEARCH("canceled",I2)))</formula>
    </cfRule>
    <cfRule type="containsText" dxfId="5" priority="3" operator="containsText" text="failed">
      <formula>NOT(ISERROR(SEARCH("failed",I2)))</formula>
    </cfRule>
    <cfRule type="containsText" dxfId="4" priority="4" operator="containsText" text="successful">
      <formula>NOT(ISERROR(SEARCH("successful",I2)))</formula>
    </cfRule>
  </conditionalFormatting>
  <conditionalFormatting sqref="I3:J3">
    <cfRule type="containsText" dxfId="3" priority="5" stopIfTrue="1" operator="containsText" text="live">
      <formula>NOT(ISERROR(SEARCH("live",I3)))</formula>
    </cfRule>
    <cfRule type="containsText" dxfId="2" priority="6" stopIfTrue="1" operator="containsText" text="canceled">
      <formula>NOT(ISERROR(SEARCH("canceled",I3)))</formula>
    </cfRule>
    <cfRule type="containsText" dxfId="1" priority="7" operator="containsText" text="failed">
      <formula>NOT(ISERROR(SEARCH("failed",I3)))</formula>
    </cfRule>
    <cfRule type="containsText" dxfId="0" priority="8" operator="containsText" text="successful">
      <formula>NOT(ISERROR(SEARCH("successful",I3)))</formula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10E36-9DDD-DD45-B05C-E17026C0F2FA}">
  <sheetPr>
    <tabColor rgb="FFFFFF00"/>
  </sheetPr>
  <dimension ref="A1:B19"/>
  <sheetViews>
    <sheetView topLeftCell="C1" workbookViewId="0">
      <selection activeCell="E31" sqref="E31"/>
    </sheetView>
  </sheetViews>
  <sheetFormatPr baseColWidth="10" defaultRowHeight="16" x14ac:dyDescent="0.2"/>
  <cols>
    <col min="1" max="1" width="28" bestFit="1" customWidth="1"/>
    <col min="2" max="2" width="17" bestFit="1" customWidth="1"/>
    <col min="3" max="3" width="8.1640625" bestFit="1" customWidth="1"/>
    <col min="4" max="4" width="9.5" bestFit="1" customWidth="1"/>
    <col min="5" max="5" width="10.83203125" bestFit="1" customWidth="1"/>
    <col min="6" max="6" width="22.6640625" bestFit="1" customWidth="1"/>
    <col min="7" max="7" width="14" bestFit="1" customWidth="1"/>
    <col min="8" max="8" width="27.5" bestFit="1" customWidth="1"/>
    <col min="9" max="9" width="18.83203125" bestFit="1" customWidth="1"/>
  </cols>
  <sheetData>
    <row r="1" spans="1:2" x14ac:dyDescent="0.2">
      <c r="A1" t="s">
        <v>2031</v>
      </c>
      <c r="B1" t="s">
        <v>2046</v>
      </c>
    </row>
    <row r="2" spans="1:2" x14ac:dyDescent="0.2">
      <c r="A2" t="s">
        <v>2085</v>
      </c>
      <c r="B2" t="s">
        <v>2046</v>
      </c>
    </row>
    <row r="3" spans="1:2" x14ac:dyDescent="0.2">
      <c r="A3" t="s">
        <v>6</v>
      </c>
      <c r="B3" t="s">
        <v>21</v>
      </c>
    </row>
    <row r="4" spans="1:2" x14ac:dyDescent="0.2">
      <c r="A4" t="s">
        <v>4</v>
      </c>
      <c r="B4" t="s">
        <v>2111</v>
      </c>
    </row>
    <row r="6" spans="1:2" x14ac:dyDescent="0.2">
      <c r="A6" t="s">
        <v>2034</v>
      </c>
      <c r="B6" t="s">
        <v>2110</v>
      </c>
    </row>
    <row r="7" spans="1:2" x14ac:dyDescent="0.2">
      <c r="A7" s="7" t="s">
        <v>2073</v>
      </c>
      <c r="B7">
        <v>1934542</v>
      </c>
    </row>
    <row r="8" spans="1:2" x14ac:dyDescent="0.2">
      <c r="A8" s="7" t="s">
        <v>2074</v>
      </c>
      <c r="B8">
        <v>3004400</v>
      </c>
    </row>
    <row r="9" spans="1:2" x14ac:dyDescent="0.2">
      <c r="A9" s="7" t="s">
        <v>2075</v>
      </c>
      <c r="B9">
        <v>3681819</v>
      </c>
    </row>
    <row r="10" spans="1:2" x14ac:dyDescent="0.2">
      <c r="A10" s="7" t="s">
        <v>2076</v>
      </c>
      <c r="B10">
        <v>2873687</v>
      </c>
    </row>
    <row r="11" spans="1:2" x14ac:dyDescent="0.2">
      <c r="A11" s="7" t="s">
        <v>2077</v>
      </c>
      <c r="B11">
        <v>2001151</v>
      </c>
    </row>
    <row r="12" spans="1:2" x14ac:dyDescent="0.2">
      <c r="A12" s="7" t="s">
        <v>2078</v>
      </c>
      <c r="B12">
        <v>2242841</v>
      </c>
    </row>
    <row r="13" spans="1:2" x14ac:dyDescent="0.2">
      <c r="A13" s="7" t="s">
        <v>2079</v>
      </c>
      <c r="B13">
        <v>2901852</v>
      </c>
    </row>
    <row r="14" spans="1:2" x14ac:dyDescent="0.2">
      <c r="A14" s="7" t="s">
        <v>2080</v>
      </c>
      <c r="B14">
        <v>2906876</v>
      </c>
    </row>
    <row r="15" spans="1:2" x14ac:dyDescent="0.2">
      <c r="A15" s="7" t="s">
        <v>2081</v>
      </c>
      <c r="B15">
        <v>1823789</v>
      </c>
    </row>
    <row r="16" spans="1:2" x14ac:dyDescent="0.2">
      <c r="A16" s="7" t="s">
        <v>2082</v>
      </c>
      <c r="B16">
        <v>2104241</v>
      </c>
    </row>
    <row r="17" spans="1:2" x14ac:dyDescent="0.2">
      <c r="A17" s="7" t="s">
        <v>2083</v>
      </c>
      <c r="B17">
        <v>3314960</v>
      </c>
    </row>
    <row r="18" spans="1:2" x14ac:dyDescent="0.2">
      <c r="A18" s="7" t="s">
        <v>2084</v>
      </c>
      <c r="B18">
        <v>2380726</v>
      </c>
    </row>
    <row r="19" spans="1:2" x14ac:dyDescent="0.2">
      <c r="A19" s="7" t="s">
        <v>2044</v>
      </c>
      <c r="B19">
        <v>31170884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77018-396C-BD44-A89C-C134F02CD8B6}">
  <sheetPr>
    <tabColor rgb="FFFFFF00"/>
  </sheetPr>
  <dimension ref="A1:B19"/>
  <sheetViews>
    <sheetView workbookViewId="0">
      <selection activeCell="C30" sqref="C30"/>
    </sheetView>
  </sheetViews>
  <sheetFormatPr baseColWidth="10" defaultRowHeight="16" x14ac:dyDescent="0.2"/>
  <cols>
    <col min="1" max="1" width="28" bestFit="1" customWidth="1"/>
    <col min="2" max="2" width="17" bestFit="1" customWidth="1"/>
    <col min="3" max="3" width="15.6640625" bestFit="1" customWidth="1"/>
    <col min="4" max="4" width="9.5" bestFit="1" customWidth="1"/>
    <col min="5" max="5" width="10.83203125" bestFit="1" customWidth="1"/>
    <col min="6" max="6" width="22.6640625" bestFit="1" customWidth="1"/>
    <col min="7" max="7" width="14" bestFit="1" customWidth="1"/>
    <col min="8" max="8" width="27.5" bestFit="1" customWidth="1"/>
    <col min="9" max="9" width="18.83203125" bestFit="1" customWidth="1"/>
  </cols>
  <sheetData>
    <row r="1" spans="1:2" x14ac:dyDescent="0.2">
      <c r="A1" s="6" t="s">
        <v>2031</v>
      </c>
      <c r="B1" t="s">
        <v>2046</v>
      </c>
    </row>
    <row r="2" spans="1:2" x14ac:dyDescent="0.2">
      <c r="A2" s="6" t="s">
        <v>2085</v>
      </c>
      <c r="B2" t="s">
        <v>2046</v>
      </c>
    </row>
    <row r="3" spans="1:2" x14ac:dyDescent="0.2">
      <c r="A3" s="6" t="s">
        <v>6</v>
      </c>
      <c r="B3" t="s">
        <v>21</v>
      </c>
    </row>
    <row r="4" spans="1:2" x14ac:dyDescent="0.2">
      <c r="A4" s="6" t="s">
        <v>4</v>
      </c>
      <c r="B4" t="s">
        <v>2111</v>
      </c>
    </row>
    <row r="6" spans="1:2" x14ac:dyDescent="0.2">
      <c r="A6" s="6" t="s">
        <v>2034</v>
      </c>
      <c r="B6" t="s">
        <v>2033</v>
      </c>
    </row>
    <row r="7" spans="1:2" x14ac:dyDescent="0.2">
      <c r="A7" s="7" t="s">
        <v>2073</v>
      </c>
      <c r="B7">
        <v>65</v>
      </c>
    </row>
    <row r="8" spans="1:2" x14ac:dyDescent="0.2">
      <c r="A8" s="7" t="s">
        <v>2074</v>
      </c>
      <c r="B8">
        <v>64</v>
      </c>
    </row>
    <row r="9" spans="1:2" x14ac:dyDescent="0.2">
      <c r="A9" s="7" t="s">
        <v>2075</v>
      </c>
      <c r="B9">
        <v>64</v>
      </c>
    </row>
    <row r="10" spans="1:2" x14ac:dyDescent="0.2">
      <c r="A10" s="7" t="s">
        <v>2076</v>
      </c>
      <c r="B10">
        <v>67</v>
      </c>
    </row>
    <row r="11" spans="1:2" x14ac:dyDescent="0.2">
      <c r="A11" s="7" t="s">
        <v>2077</v>
      </c>
      <c r="B11">
        <v>65</v>
      </c>
    </row>
    <row r="12" spans="1:2" x14ac:dyDescent="0.2">
      <c r="A12" s="7" t="s">
        <v>2078</v>
      </c>
      <c r="B12">
        <v>62</v>
      </c>
    </row>
    <row r="13" spans="1:2" x14ac:dyDescent="0.2">
      <c r="A13" s="7" t="s">
        <v>2079</v>
      </c>
      <c r="B13">
        <v>74</v>
      </c>
    </row>
    <row r="14" spans="1:2" x14ac:dyDescent="0.2">
      <c r="A14" s="7" t="s">
        <v>2080</v>
      </c>
      <c r="B14">
        <v>63</v>
      </c>
    </row>
    <row r="15" spans="1:2" x14ac:dyDescent="0.2">
      <c r="A15" s="7" t="s">
        <v>2081</v>
      </c>
      <c r="B15">
        <v>60</v>
      </c>
    </row>
    <row r="16" spans="1:2" x14ac:dyDescent="0.2">
      <c r="A16" s="7" t="s">
        <v>2082</v>
      </c>
      <c r="B16">
        <v>56</v>
      </c>
    </row>
    <row r="17" spans="1:2" x14ac:dyDescent="0.2">
      <c r="A17" s="7" t="s">
        <v>2083</v>
      </c>
      <c r="B17">
        <v>56</v>
      </c>
    </row>
    <row r="18" spans="1:2" x14ac:dyDescent="0.2">
      <c r="A18" s="7" t="s">
        <v>2084</v>
      </c>
      <c r="B18">
        <v>58</v>
      </c>
    </row>
    <row r="19" spans="1:2" x14ac:dyDescent="0.2">
      <c r="A19" s="7" t="s">
        <v>2044</v>
      </c>
      <c r="B19">
        <v>754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Crowdfunding raw</vt:lpstr>
      <vt:lpstr>Crowdfunding with calc columns</vt:lpstr>
      <vt:lpstr>Outcome per Category</vt:lpstr>
      <vt:lpstr>Outcome per Sub-Category</vt:lpstr>
      <vt:lpstr>Outcome by Launch Date</vt:lpstr>
      <vt:lpstr>Outcomes Based on Goal</vt:lpstr>
      <vt:lpstr>Backers Count</vt:lpstr>
      <vt:lpstr>Extra - Donation by Launch Date</vt:lpstr>
      <vt:lpstr>Extra - Campaign by Launch Date</vt:lpstr>
      <vt:lpstr>Extra - % Funded by Category</vt:lpstr>
      <vt:lpstr>Extra - Goal by Category</vt:lpstr>
      <vt:lpstr>Extra - Duration by Outcome</vt:lpstr>
      <vt:lpstr>Extra - % Funded by vs</vt:lpstr>
      <vt:lpstr>Extra - # Backers by Outcome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sTEPH aBEGG</cp:lastModifiedBy>
  <dcterms:created xsi:type="dcterms:W3CDTF">2021-09-29T18:52:28Z</dcterms:created>
  <dcterms:modified xsi:type="dcterms:W3CDTF">2024-06-21T02:36:29Z</dcterms:modified>
</cp:coreProperties>
</file>