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media/image1.png" ContentType="image/png"/>
  <Override PartName="/xl/media/image2.tif" ContentType="image/tif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te 1" sheetId="1" state="visible" r:id="rId2"/>
    <sheet name="Plat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<sst xmlns="http://schemas.openxmlformats.org/spreadsheetml/2006/main" count="199" uniqueCount="118">
  <si>
    <r>
      <rPr>
        <b val="true"/>
        <sz val="14"/>
        <color rgb="FF325596"/>
        <rFont val="Calibri"/>
        <family val="2"/>
        <charset val="1"/>
      </rPr>
      <t xml:space="preserve">BioRedAm Activity Assay</t>
    </r>
    <r>
      <rPr>
        <b val="true"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 xml:space="preserve">| Spectrophotometric Determination of NADPH Consumption</t>
    </r>
  </si>
  <si>
    <t xml:space="preserve">Enzyme:</t>
  </si>
  <si>
    <t xml:space="preserve">IR00204</t>
  </si>
  <si>
    <t xml:space="preserve">Assay Method:</t>
  </si>
  <si>
    <t xml:space="preserve">photometric, manual pipetting</t>
  </si>
  <si>
    <t xml:space="preserve">Assay Conditions:</t>
  </si>
  <si>
    <t xml:space="preserve">50 mM carbonyl compound, 50 mM amine (exception: A001, 500 mM), 2 mM NADPH, 2 mg/mL IRED (crude lysate), 10% (v/v) DMSO, bicine–NaOH buffer (100 mM, pH 8.0)</t>
  </si>
  <si>
    <t xml:space="preserve">Instrument Settings:</t>
  </si>
  <si>
    <t xml:space="preserve">Molecular Devices SpectraMax M2 plate reader; wavelength 370 nm; 30 °C, 1 h, measurement interval 30 s, pathlength determination (PathCheck) via cuvette reference</t>
  </si>
  <si>
    <t xml:space="preserve">Lab Journal Code:</t>
  </si>
  <si>
    <t xml:space="preserve">BES-BC-056</t>
  </si>
  <si>
    <t xml:space="preserve">Experiment Date:</t>
  </si>
  <si>
    <t xml:space="preserve">12.04.2022</t>
  </si>
  <si>
    <t xml:space="preserve">Plate Layout:</t>
  </si>
  <si>
    <t xml:space="preserve">Analysis:</t>
  </si>
  <si>
    <r>
      <rPr>
        <b val="true"/>
        <i val="true"/>
        <sz val="11"/>
        <color rgb="FF000000"/>
        <rFont val="Calibri"/>
        <family val="2"/>
        <charset val="1"/>
      </rPr>
      <t xml:space="preserve">ε</t>
    </r>
    <r>
      <rPr>
        <b val="true"/>
        <vertAlign val="subscript"/>
        <sz val="11"/>
        <color rgb="FF000000"/>
        <rFont val="Calibri"/>
        <family val="2"/>
        <charset val="1"/>
      </rPr>
      <t xml:space="preserve">370</t>
    </r>
    <r>
      <rPr>
        <b val="true"/>
        <sz val="11"/>
        <color rgb="FF000000"/>
        <rFont val="Calibri"/>
        <family val="2"/>
        <charset val="1"/>
      </rPr>
      <t xml:space="preserve">(NADPH) [M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 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]:</t>
    </r>
  </si>
  <si>
    <t xml:space="preserve">A</t>
  </si>
  <si>
    <t xml:space="preserve">C122–A001</t>
  </si>
  <si>
    <t xml:space="preserve">C003–A001</t>
  </si>
  <si>
    <t xml:space="preserve">C067–A001</t>
  </si>
  <si>
    <t xml:space="preserve">C042–A001</t>
  </si>
  <si>
    <r>
      <rPr>
        <b val="true"/>
        <i val="true"/>
        <sz val="11"/>
        <color rgb="FF000000"/>
        <rFont val="Calibri"/>
        <family val="2"/>
        <charset val="1"/>
      </rPr>
      <t xml:space="preserve">c</t>
    </r>
    <r>
      <rPr>
        <b val="true"/>
        <sz val="11"/>
        <color rgb="FF000000"/>
        <rFont val="Calibri"/>
        <family val="2"/>
        <charset val="1"/>
      </rPr>
      <t xml:space="preserve">(lysate) [mg mL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]:</t>
    </r>
  </si>
  <si>
    <t xml:space="preserve">B</t>
  </si>
  <si>
    <t xml:space="preserve">C122–A002</t>
  </si>
  <si>
    <t xml:space="preserve">C003–A002</t>
  </si>
  <si>
    <t xml:space="preserve">C067–A002</t>
  </si>
  <si>
    <t xml:space="preserve">C042–A002</t>
  </si>
  <si>
    <t xml:space="preserve">C</t>
  </si>
  <si>
    <t xml:space="preserve">C122–A006</t>
  </si>
  <si>
    <t xml:space="preserve">C003–A006</t>
  </si>
  <si>
    <t xml:space="preserve">C067–A006</t>
  </si>
  <si>
    <t xml:space="preserve">C042–A006</t>
  </si>
  <si>
    <t xml:space="preserve">substrate combination</t>
  </si>
  <si>
    <r>
      <rPr>
        <b val="true"/>
        <sz val="11"/>
        <color rgb="FFFFFFFF"/>
        <rFont val="Calibri"/>
        <family val="2"/>
        <charset val="1"/>
      </rPr>
      <t xml:space="preserve">slope [mAU min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</si>
  <si>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r>
      <rPr>
        <b val="true"/>
        <sz val="11"/>
        <color rgb="FFFFFFFF"/>
        <rFont val="Calibri"/>
        <family val="2"/>
        <charset val="1"/>
      </rPr>
      <t xml:space="preserve">norm. slope [mAU min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 cm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</si>
  <si>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r>
      <rPr>
        <b val="true"/>
        <sz val="11"/>
        <color rgb="FFFFFFFF"/>
        <rFont val="Calibri"/>
        <family val="2"/>
        <charset val="1"/>
      </rPr>
      <t xml:space="preserve">activity [mU mg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</si>
  <si>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t xml:space="preserve">Hit Finder</t>
  </si>
  <si>
    <t xml:space="preserve">D</t>
  </si>
  <si>
    <t xml:space="preserve">C122–A011</t>
  </si>
  <si>
    <t xml:space="preserve">C003–A011</t>
  </si>
  <si>
    <t xml:space="preserve">C067–A011</t>
  </si>
  <si>
    <t xml:space="preserve">C042–A011</t>
  </si>
  <si>
    <t xml:space="preserve">mean</t>
  </si>
  <si>
    <r>
      <rPr>
        <i val="true"/>
        <sz val="11"/>
        <color rgb="FFFFFFFF"/>
        <rFont val="Calibri"/>
        <family val="2"/>
        <charset val="1"/>
      </rPr>
      <t xml:space="preserve">mean</t>
    </r>
    <r>
      <rPr>
        <i val="true"/>
        <vertAlign val="subscript"/>
        <sz val="11"/>
        <color rgb="FFFFFFFF"/>
        <rFont val="Calibri"/>
        <family val="2"/>
        <charset val="1"/>
      </rPr>
      <t xml:space="preserve">corr</t>
    </r>
  </si>
  <si>
    <t xml:space="preserve">SD</t>
  </si>
  <si>
    <t xml:space="preserve">5 SD</t>
  </si>
  <si>
    <t xml:space="preserve">3 SD</t>
  </si>
  <si>
    <t xml:space="preserve">E</t>
  </si>
  <si>
    <t xml:space="preserve">C122–A025</t>
  </si>
  <si>
    <t xml:space="preserve">C003–A025</t>
  </si>
  <si>
    <t xml:space="preserve">C067–A025</t>
  </si>
  <si>
    <t xml:space="preserve">C042–A025</t>
  </si>
  <si>
    <t xml:space="preserve">F</t>
  </si>
  <si>
    <t xml:space="preserve">C122–A030</t>
  </si>
  <si>
    <t xml:space="preserve">C003–A030</t>
  </si>
  <si>
    <t xml:space="preserve">C067–A030</t>
  </si>
  <si>
    <t xml:space="preserve">C042–A030</t>
  </si>
  <si>
    <t xml:space="preserve">G</t>
  </si>
  <si>
    <t xml:space="preserve">C122–A036</t>
  </si>
  <si>
    <t xml:space="preserve">C003–A036</t>
  </si>
  <si>
    <t xml:space="preserve">C067–A036</t>
  </si>
  <si>
    <t xml:space="preserve">C042–A036</t>
  </si>
  <si>
    <t xml:space="preserve">H</t>
  </si>
  <si>
    <t xml:space="preserve">C122 w/o amine</t>
  </si>
  <si>
    <t xml:space="preserve">C003 w/o amine</t>
  </si>
  <si>
    <t xml:space="preserve">C067 w/o amine</t>
  </si>
  <si>
    <t xml:space="preserve">C042 w/o amine</t>
  </si>
  <si>
    <t xml:space="preserve">PathCheck Data:</t>
  </si>
  <si>
    <t xml:space="preserve">pathlength [cm]</t>
  </si>
  <si>
    <t xml:space="preserve">erroneous PathCheck reading due to precipitation –&gt; standard value (0.24) used</t>
  </si>
  <si>
    <t xml:space="preserve">Kinetic Data:</t>
  </si>
  <si>
    <t xml:space="preserve">max. absorbance change [mAU/min]</t>
  </si>
  <si>
    <t xml:space="preserve">vmax30lag600</t>
  </si>
  <si>
    <t xml:space="preserve">vmax10</t>
  </si>
  <si>
    <t xml:space="preserve">vmax3</t>
  </si>
  <si>
    <t xml:space="preserve">INSERT IMAGE OF KINETIC CURVES HERE</t>
  </si>
  <si>
    <t xml:space="preserve">photometric, robotic pipetting</t>
  </si>
  <si>
    <t xml:space="preserve">50 mM carbonyl compound, 50 mM amine (exception: A001, 500 mM), 2 mM NADPH, 1 mg/mL IRED (crude lysate), 10% (v/v) DMSO, bicine–NaOH buffer (100 mM, pH 8.0)</t>
  </si>
  <si>
    <t xml:space="preserve">FLUOstar Omega plate reader; wavelength 370 nm; 30 °C, 1 h, measurement interval 30 s, pathlength mean of previous inital screening pathlenghts</t>
  </si>
  <si>
    <t xml:space="preserve">GRC-GD-122</t>
  </si>
  <si>
    <t xml:space="preserve">C093–A001</t>
  </si>
  <si>
    <t xml:space="preserve">C028–A001</t>
  </si>
  <si>
    <t xml:space="preserve">C037–A001</t>
  </si>
  <si>
    <t xml:space="preserve">C054–A001</t>
  </si>
  <si>
    <t xml:space="preserve">C093–A002</t>
  </si>
  <si>
    <t xml:space="preserve">C028–A002</t>
  </si>
  <si>
    <t xml:space="preserve">C037–A002</t>
  </si>
  <si>
    <t xml:space="preserve">C054–A002</t>
  </si>
  <si>
    <t xml:space="preserve">C093–A006</t>
  </si>
  <si>
    <t xml:space="preserve">C028–A006</t>
  </si>
  <si>
    <t xml:space="preserve">C037–A006</t>
  </si>
  <si>
    <t xml:space="preserve">C054–A006</t>
  </si>
  <si>
    <t xml:space="preserve">C093–A011</t>
  </si>
  <si>
    <t xml:space="preserve">C028–A011</t>
  </si>
  <si>
    <t xml:space="preserve">C037–A011</t>
  </si>
  <si>
    <t xml:space="preserve">C054–A011</t>
  </si>
  <si>
    <t xml:space="preserve">C093–A025</t>
  </si>
  <si>
    <t xml:space="preserve">C028–A025</t>
  </si>
  <si>
    <t xml:space="preserve">C037–A025</t>
  </si>
  <si>
    <t xml:space="preserve">C054–A025</t>
  </si>
  <si>
    <t xml:space="preserve">C093–A030</t>
  </si>
  <si>
    <t xml:space="preserve">C028–A030</t>
  </si>
  <si>
    <t xml:space="preserve">C037–A030</t>
  </si>
  <si>
    <t xml:space="preserve">C054–A030</t>
  </si>
  <si>
    <t xml:space="preserve">C093–A036</t>
  </si>
  <si>
    <t xml:space="preserve">C028–A036</t>
  </si>
  <si>
    <t xml:space="preserve">C037–A036</t>
  </si>
  <si>
    <t xml:space="preserve">C054–A036</t>
  </si>
  <si>
    <t xml:space="preserve">C093 w/o amine</t>
  </si>
  <si>
    <t xml:space="preserve">C028 w/o amine</t>
  </si>
  <si>
    <t xml:space="preserve">C037 w/o amine</t>
  </si>
  <si>
    <t xml:space="preserve">C054 w/o amine</t>
  </si>
  <si>
    <t xml:space="preserve">nohit gcms</t>
  </si>
  <si>
    <t xml:space="preserve">x</t>
  </si>
  <si>
    <t xml:space="preserve">artifact method</t>
  </si>
  <si>
    <t xml:space="preserve">manual fit required</t>
  </si>
  <si>
    <t xml:space="preserve">(rest)</t>
  </si>
  <si>
    <t xml:space="preserve">slower reactions: Vmax over 30 data points, initial 600 sec discarded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</si>
</sst>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"/>
    <numFmt numFmtId="167" formatCode="0.000"/>
    <numFmt numFmtId="168" formatCode="General"/>
    <numFmt numFmtId="169" formatCode="0.00"/>
    <numFmt numFmtId="170" formatCode="0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sz val="10"/>
      <color rgb="FF000000"/>
      <name val="Calibri"/>
      <family val="0"/>
      <charset val="1"/>
    </font>
    <font>
      <b val="true"/>
      <sz val="11"/>
      <color rgb="FF0D27A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i val="true"/>
      <vertAlign val="subscript"/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3AA3C"/>
      <name val="Calibri"/>
      <family val="2"/>
      <charset val="1"/>
    </font>
    <font>
      <b val="true"/>
      <sz val="11"/>
      <color rgb="FFF09600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0D27A7"/>
      <name val="Calibri"/>
      <family val="2"/>
      <charset val="1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325596"/>
        <bgColor rgb="FF595959"/>
      </patternFill>
    </fill>
    <fill>
      <patternFill patternType="solid">
        <fgColor rgb="FFD9D9D9"/>
        <bgColor rgb="FFDAE3F3"/>
      </patternFill>
    </fill>
    <fill>
      <patternFill patternType="solid">
        <fgColor rgb="FF6F91CF"/>
        <bgColor rgb="FF969696"/>
      </patternFill>
    </fill>
    <fill>
      <patternFill patternType="solid">
        <fgColor rgb="FFF2F2F2"/>
        <bgColor rgb="FFE2EFDA"/>
      </patternFill>
    </fill>
    <fill>
      <patternFill patternType="solid">
        <fgColor rgb="FFE2F0D9"/>
        <bgColor rgb="FFE2EFDA"/>
      </patternFill>
    </fill>
    <fill>
      <patternFill patternType="solid">
        <fgColor rgb="FFE3F0D6"/>
        <bgColor rgb="FFE2F0D9"/>
      </patternFill>
    </fill>
    <fill>
      <patternFill patternType="solid">
        <fgColor rgb="FFFDBCBC"/>
        <bgColor rgb="FFF8CBAD"/>
      </patternFill>
    </fill>
    <fill>
      <patternFill patternType="solid">
        <fgColor rgb="FFC6E0B4"/>
        <bgColor rgb="FFD9D9D9"/>
      </patternFill>
    </fill>
    <fill>
      <patternFill patternType="solid">
        <fgColor rgb="FFF8CBAD"/>
        <bgColor rgb="FFFDBCBC"/>
      </patternFill>
    </fill>
    <fill>
      <patternFill patternType="solid">
        <fgColor rgb="FFFFFFFF"/>
        <bgColor rgb="FFF2F2F2"/>
      </patternFill>
    </fill>
    <fill>
      <patternFill patternType="solid">
        <fgColor rgb="FFE2EFDA"/>
        <bgColor rgb="FFE2F0D9"/>
      </patternFill>
    </fill>
    <fill>
      <patternFill patternType="solid">
        <fgColor rgb="FFFBE5D6"/>
        <bgColor rgb="FFF2F2F2"/>
      </patternFill>
    </fill>
    <fill>
      <patternFill patternType="solid">
        <fgColor rgb="FFDAE3F3"/>
        <bgColor rgb="FFD9D9D9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>
        <color rgb="FF7F7F7F"/>
      </bottom>
      <diagonal/>
    </border>
    <border diagonalUp="false" diagonalDown="false">
      <left style="thin"/>
      <right style="thin"/>
      <top style="medium"/>
      <bottom style="thin">
        <color rgb="FF7F7F7F"/>
      </bottom>
      <diagonal/>
    </border>
    <border diagonalUp="false" diagonalDown="false">
      <left style="thin"/>
      <right style="medium"/>
      <top style="medium"/>
      <bottom style="thin">
        <color rgb="FF7F7F7F"/>
      </bottom>
      <diagonal/>
    </border>
    <border diagonalUp="false" diagonalDown="false">
      <left style="medium"/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>
        <color rgb="FF7F7F7F"/>
      </top>
      <bottom style="medium"/>
      <diagonal/>
    </border>
    <border diagonalUp="false" diagonalDown="false">
      <left style="thin"/>
      <right style="thin"/>
      <top style="thin">
        <color rgb="FF7F7F7F"/>
      </top>
      <bottom style="medium"/>
      <diagonal/>
    </border>
    <border diagonalUp="false" diagonalDown="false">
      <left style="thin"/>
      <right style="medium"/>
      <top style="thin">
        <color rgb="FF7F7F7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medium"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7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27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9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9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3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9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5" fillId="5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27" fillId="1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5" fillId="5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5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7" fillId="13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1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7" fillId="6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4" fillId="1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3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D9D9D9"/>
      <rgbColor rgb="FF7F7F7F"/>
      <rgbColor rgb="FF6F91CF"/>
      <rgbColor rgb="FF993366"/>
      <rgbColor rgb="FFF2F2F2"/>
      <rgbColor rgb="FFE2EFDA"/>
      <rgbColor rgb="FF660066"/>
      <rgbColor rgb="FFFF8080"/>
      <rgbColor rgb="FF325596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F0D6"/>
      <rgbColor rgb="FFE2F0D9"/>
      <rgbColor rgb="FFFBE5D6"/>
      <rgbColor rgb="FFC6E0B4"/>
      <rgbColor rgb="FFFDBCBC"/>
      <rgbColor rgb="FFDAE3F3"/>
      <rgbColor rgb="FFF8CBAD"/>
      <rgbColor rgb="FF3366FF"/>
      <rgbColor rgb="FF33CCCC"/>
      <rgbColor rgb="FF99CC00"/>
      <rgbColor rgb="FFFFC25D"/>
      <rgbColor rgb="FFF096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0D27A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'Plate 1'!$Z$16:$Z$22,'Plate 1'!$Z$24:$Z$30,'Plate 1'!$Z$32:$Z$38,'Plate 1'!$Z$40:$Z$46</c:f>
                <c:numCache>
                  <c:formatCode>General</c:formatCode>
                  <c:ptCount val="28"/>
                  <c:pt idx="0">
                    <c:v>1.18362400212792</c:v>
                  </c:pt>
                  <c:pt idx="1">
                    <c:v>0.44473762676065</c:v>
                  </c:pt>
                  <c:pt idx="2">
                    <c:v>0.49455068017387</c:v>
                  </c:pt>
                  <c:pt idx="3">
                    <c:v>0.742776171326631</c:v>
                  </c:pt>
                  <c:pt idx="4">
                    <c:v>0.312946955528148</c:v>
                  </c:pt>
                  <c:pt idx="5">
                    <c:v>7.30259386980573</c:v>
                  </c:pt>
                  <c:pt idx="6">
                    <c:v>7.04315112803655</c:v>
                  </c:pt>
                  <c:pt idx="7">
                    <c:v>0.363764473613375</c:v>
                  </c:pt>
                  <c:pt idx="8">
                    <c:v>1.84667406801558</c:v>
                  </c:pt>
                  <c:pt idx="9">
                    <c:v>0.300156864340704</c:v>
                  </c:pt>
                  <c:pt idx="10">
                    <c:v>9.43604675327771</c:v>
                  </c:pt>
                  <c:pt idx="11">
                    <c:v>0.22555159888065</c:v>
                  </c:pt>
                  <c:pt idx="12">
                    <c:v>0.268819014075052</c:v>
                  </c:pt>
                  <c:pt idx="13">
                    <c:v>0.0626751784027268</c:v>
                  </c:pt>
                  <c:pt idx="14">
                    <c:v>0.0619846081238184</c:v>
                  </c:pt>
                  <c:pt idx="15">
                    <c:v>0.809138993308495</c:v>
                  </c:pt>
                  <c:pt idx="16">
                    <c:v>0.598068720064544</c:v>
                  </c:pt>
                  <c:pt idx="17">
                    <c:v>6.16000512628019</c:v>
                  </c:pt>
                  <c:pt idx="18">
                    <c:v>0.375021933346828</c:v>
                  </c:pt>
                  <c:pt idx="19">
                    <c:v>0.0151939216154427</c:v>
                  </c:pt>
                  <c:pt idx="20">
                    <c:v>0.0406277001189732</c:v>
                  </c:pt>
                  <c:pt idx="21">
                    <c:v>0.0471296511778391</c:v>
                  </c:pt>
                  <c:pt idx="22">
                    <c:v>0.0701079867639303</c:v>
                  </c:pt>
                  <c:pt idx="23">
                    <c:v>0.0218489415886629</c:v>
                  </c:pt>
                  <c:pt idx="24">
                    <c:v>0.48072813599042</c:v>
                  </c:pt>
                  <c:pt idx="25">
                    <c:v>0.0558009595765368</c:v>
                  </c:pt>
                  <c:pt idx="26">
                    <c:v>0.0431232105847732</c:v>
                  </c:pt>
                  <c:pt idx="27">
                    <c:v>0.243284614943258</c:v>
                  </c:pt>
                </c:numCache>
              </c:numRef>
            </c:plus>
            <c:minus>
              <c:numRef>
                <c:f>'Plate 1'!$Z$16:$Z$22,'Plate 1'!$Z$24:$Z$30,'Plate 1'!$Z$32:$Z$38,'Plate 1'!$Z$40:$Z$46</c:f>
                <c:numCache>
                  <c:formatCode>General</c:formatCode>
                  <c:ptCount val="28"/>
                  <c:pt idx="0">
                    <c:v>1.18362400212792</c:v>
                  </c:pt>
                  <c:pt idx="1">
                    <c:v>0.44473762676065</c:v>
                  </c:pt>
                  <c:pt idx="2">
                    <c:v>0.49455068017387</c:v>
                  </c:pt>
                  <c:pt idx="3">
                    <c:v>0.742776171326631</c:v>
                  </c:pt>
                  <c:pt idx="4">
                    <c:v>0.312946955528148</c:v>
                  </c:pt>
                  <c:pt idx="5">
                    <c:v>7.30259386980573</c:v>
                  </c:pt>
                  <c:pt idx="6">
                    <c:v>7.04315112803655</c:v>
                  </c:pt>
                  <c:pt idx="7">
                    <c:v>0.363764473613375</c:v>
                  </c:pt>
                  <c:pt idx="8">
                    <c:v>1.84667406801558</c:v>
                  </c:pt>
                  <c:pt idx="9">
                    <c:v>0.300156864340704</c:v>
                  </c:pt>
                  <c:pt idx="10">
                    <c:v>9.43604675327771</c:v>
                  </c:pt>
                  <c:pt idx="11">
                    <c:v>0.22555159888065</c:v>
                  </c:pt>
                  <c:pt idx="12">
                    <c:v>0.268819014075052</c:v>
                  </c:pt>
                  <c:pt idx="13">
                    <c:v>0.0626751784027268</c:v>
                  </c:pt>
                  <c:pt idx="14">
                    <c:v>0.0619846081238184</c:v>
                  </c:pt>
                  <c:pt idx="15">
                    <c:v>0.809138993308495</c:v>
                  </c:pt>
                  <c:pt idx="16">
                    <c:v>0.598068720064544</c:v>
                  </c:pt>
                  <c:pt idx="17">
                    <c:v>6.16000512628019</c:v>
                  </c:pt>
                  <c:pt idx="18">
                    <c:v>0.375021933346828</c:v>
                  </c:pt>
                  <c:pt idx="19">
                    <c:v>0.0151939216154427</c:v>
                  </c:pt>
                  <c:pt idx="20">
                    <c:v>0.0406277001189732</c:v>
                  </c:pt>
                  <c:pt idx="21">
                    <c:v>0.0471296511778391</c:v>
                  </c:pt>
                  <c:pt idx="22">
                    <c:v>0.0701079867639303</c:v>
                  </c:pt>
                  <c:pt idx="23">
                    <c:v>0.0218489415886629</c:v>
                  </c:pt>
                  <c:pt idx="24">
                    <c:v>0.48072813599042</c:v>
                  </c:pt>
                  <c:pt idx="25">
                    <c:v>0.0558009595765368</c:v>
                  </c:pt>
                  <c:pt idx="26">
                    <c:v>0.0431232105847732</c:v>
                  </c:pt>
                  <c:pt idx="27">
                    <c:v>0.243284614943258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'Plate 1'!$O$16:$O$22,'Plate 1'!$O$24:$O$30,'Plate 1'!$O$32:$O$38,'Plate 1'!$O$40:$O$46</c:f>
              <c:strCache>
                <c:ptCount val="28"/>
                <c:pt idx="0">
                  <c:v>C122–A001</c:v>
                </c:pt>
                <c:pt idx="1">
                  <c:v>C122–A002</c:v>
                </c:pt>
                <c:pt idx="2">
                  <c:v>C122–A006</c:v>
                </c:pt>
                <c:pt idx="3">
                  <c:v>C122–A011</c:v>
                </c:pt>
                <c:pt idx="4">
                  <c:v>C122–A025</c:v>
                </c:pt>
                <c:pt idx="5">
                  <c:v>C122–A030</c:v>
                </c:pt>
                <c:pt idx="6">
                  <c:v>C122–A036</c:v>
                </c:pt>
                <c:pt idx="7">
                  <c:v>C003–A001</c:v>
                </c:pt>
                <c:pt idx="8">
                  <c:v>C003–A002</c:v>
                </c:pt>
                <c:pt idx="9">
                  <c:v>C003–A006</c:v>
                </c:pt>
                <c:pt idx="10">
                  <c:v>C003–A011</c:v>
                </c:pt>
                <c:pt idx="11">
                  <c:v>C003–A025</c:v>
                </c:pt>
                <c:pt idx="12">
                  <c:v>C003–A030</c:v>
                </c:pt>
                <c:pt idx="13">
                  <c:v>C003–A036</c:v>
                </c:pt>
                <c:pt idx="14">
                  <c:v>C067–A001</c:v>
                </c:pt>
                <c:pt idx="15">
                  <c:v>C067–A002</c:v>
                </c:pt>
                <c:pt idx="16">
                  <c:v>C067–A006</c:v>
                </c:pt>
                <c:pt idx="17">
                  <c:v>C067–A011</c:v>
                </c:pt>
                <c:pt idx="18">
                  <c:v>C067–A025</c:v>
                </c:pt>
                <c:pt idx="19">
                  <c:v>C067–A030</c:v>
                </c:pt>
                <c:pt idx="20">
                  <c:v>C067–A036</c:v>
                </c:pt>
                <c:pt idx="21">
                  <c:v>C042–A001</c:v>
                </c:pt>
                <c:pt idx="22">
                  <c:v>C042–A002</c:v>
                </c:pt>
                <c:pt idx="23">
                  <c:v>C042–A006</c:v>
                </c:pt>
                <c:pt idx="24">
                  <c:v>C042–A011</c:v>
                </c:pt>
                <c:pt idx="25">
                  <c:v>C042–A025</c:v>
                </c:pt>
                <c:pt idx="26">
                  <c:v>C042–A030</c:v>
                </c:pt>
                <c:pt idx="27">
                  <c:v>C042–A036</c:v>
                </c:pt>
              </c:strCache>
            </c:strRef>
          </c:cat>
          <c:val>
            <c:numRef>
              <c:f>'Plate 1'!$Y$16:$Y$22,'Plate 1'!$Y$24:$Y$30,'Plate 1'!$Y$32:$Y$38,'Plate 1'!$Y$40:$Y$46</c:f>
              <c:numCache>
                <c:formatCode>General</c:formatCode>
                <c:ptCount val="28"/>
                <c:pt idx="0">
                  <c:v>-0.147416646711144</c:v>
                </c:pt>
                <c:pt idx="1">
                  <c:v>0.0498237591310672</c:v>
                </c:pt>
                <c:pt idx="2">
                  <c:v>-0.447562918437665</c:v>
                </c:pt>
                <c:pt idx="3">
                  <c:v>16.6973048013835</c:v>
                </c:pt>
                <c:pt idx="4">
                  <c:v>-0.510202974605311</c:v>
                </c:pt>
                <c:pt idx="5">
                  <c:v>44.1794480004596</c:v>
                </c:pt>
                <c:pt idx="6">
                  <c:v>24.0239473860699</c:v>
                </c:pt>
                <c:pt idx="7">
                  <c:v>3.86987557584664</c:v>
                </c:pt>
                <c:pt idx="8">
                  <c:v>41.3058765493403</c:v>
                </c:pt>
                <c:pt idx="9">
                  <c:v>4.90751017997146</c:v>
                </c:pt>
                <c:pt idx="10">
                  <c:v>190.355793935329</c:v>
                </c:pt>
                <c:pt idx="11">
                  <c:v>5.20351972528475</c:v>
                </c:pt>
                <c:pt idx="12">
                  <c:v>3.35526393236426</c:v>
                </c:pt>
                <c:pt idx="13">
                  <c:v>-0.1424940397293</c:v>
                </c:pt>
                <c:pt idx="14">
                  <c:v>-0.234322344571737</c:v>
                </c:pt>
                <c:pt idx="15">
                  <c:v>1.04720073339165</c:v>
                </c:pt>
                <c:pt idx="16">
                  <c:v>0.203973636490954</c:v>
                </c:pt>
                <c:pt idx="17">
                  <c:v>21.4082331987049</c:v>
                </c:pt>
                <c:pt idx="18">
                  <c:v>0.10427512945033</c:v>
                </c:pt>
                <c:pt idx="19">
                  <c:v>-0.709133700703515</c:v>
                </c:pt>
                <c:pt idx="20">
                  <c:v>-0.542463155235147</c:v>
                </c:pt>
                <c:pt idx="21">
                  <c:v>0.0769019080544052</c:v>
                </c:pt>
                <c:pt idx="22">
                  <c:v>0.375604983463522</c:v>
                </c:pt>
                <c:pt idx="23">
                  <c:v>0.0486840374078121</c:v>
                </c:pt>
                <c:pt idx="24">
                  <c:v>31.7749555209926</c:v>
                </c:pt>
                <c:pt idx="25">
                  <c:v>0.214900545522787</c:v>
                </c:pt>
                <c:pt idx="26">
                  <c:v>-0.219003793439786</c:v>
                </c:pt>
                <c:pt idx="27">
                  <c:v>0.136738266286184</c:v>
                </c:pt>
              </c:numCache>
            </c:numRef>
          </c:val>
        </c:ser>
        <c:gapWidth val="182"/>
        <c:overlap val="0"/>
        <c:axId val="7499506"/>
        <c:axId val="31845921"/>
      </c:barChart>
      <c:catAx>
        <c:axId val="749950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45921"/>
        <c:crosses val="autoZero"/>
        <c:auto val="1"/>
        <c:lblAlgn val="ctr"/>
        <c:lblOffset val="100"/>
        <c:noMultiLvlLbl val="0"/>
      </c:catAx>
      <c:valAx>
        <c:axId val="31845921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1" lang="de-A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308904152751"/>
              <c:y val="0.96152908181929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9506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'Plate 2'!$Z$16:$Z$22,'Plate 2'!$Z$24:$Z$30,'Plate 2'!$Z$32:$Z$38,'Plate 2'!$Z$40:$Z$46</c:f>
                <c:numCache>
                  <c:formatCode>General</c:formatCode>
                  <c:ptCount val="28"/>
                  <c:pt idx="0">
                    <c:v>0.345589215410658</c:v>
                  </c:pt>
                  <c:pt idx="1">
                    <c:v>0</c:v>
                  </c:pt>
                  <c:pt idx="2">
                    <c:v>1.02079925937618</c:v>
                  </c:pt>
                  <c:pt idx="3">
                    <c:v>0.878258579823142</c:v>
                  </c:pt>
                  <c:pt idx="4">
                    <c:v>0.162527555238406</c:v>
                  </c:pt>
                  <c:pt idx="5">
                    <c:v>0.384623288610695</c:v>
                  </c:pt>
                  <c:pt idx="6">
                    <c:v>0.774586788446785</c:v>
                  </c:pt>
                  <c:pt idx="7">
                    <c:v>0.418448465478564</c:v>
                  </c:pt>
                  <c:pt idx="8">
                    <c:v>0.619029770896131</c:v>
                  </c:pt>
                  <c:pt idx="9">
                    <c:v>0.51134522305095</c:v>
                  </c:pt>
                  <c:pt idx="10">
                    <c:v>3.15237787422633</c:v>
                  </c:pt>
                  <c:pt idx="11">
                    <c:v>0.428689023697315</c:v>
                  </c:pt>
                  <c:pt idx="12">
                    <c:v>0.900809427515046</c:v>
                  </c:pt>
                  <c:pt idx="13">
                    <c:v>0.242651226109739</c:v>
                  </c:pt>
                  <c:pt idx="14">
                    <c:v>2.04617031480455</c:v>
                  </c:pt>
                  <c:pt idx="15">
                    <c:v>0.607034117673087</c:v>
                  </c:pt>
                  <c:pt idx="16">
                    <c:v>0.0766180220648234</c:v>
                  </c:pt>
                  <c:pt idx="17">
                    <c:v>4.68348073631976</c:v>
                  </c:pt>
                  <c:pt idx="18">
                    <c:v>0.864283551220461</c:v>
                  </c:pt>
                  <c:pt idx="19">
                    <c:v>0.456909829650715</c:v>
                  </c:pt>
                  <c:pt idx="20">
                    <c:v>1.66011713773861</c:v>
                  </c:pt>
                  <c:pt idx="21">
                    <c:v>0.153787146530238</c:v>
                  </c:pt>
                  <c:pt idx="22">
                    <c:v>0.0725653664540367</c:v>
                  </c:pt>
                  <c:pt idx="23">
                    <c:v>0.202057078636079</c:v>
                  </c:pt>
                  <c:pt idx="24">
                    <c:v>1.00318942188248</c:v>
                  </c:pt>
                  <c:pt idx="25">
                    <c:v>0.0582455926729969</c:v>
                  </c:pt>
                  <c:pt idx="26">
                    <c:v>0.106820045641857</c:v>
                  </c:pt>
                  <c:pt idx="27">
                    <c:v>0.144011066689255</c:v>
                  </c:pt>
                </c:numCache>
              </c:numRef>
            </c:plus>
            <c:minus>
              <c:numRef>
                <c:f>'Plate 2'!$Z$16:$Z$22,'Plate 2'!$Z$24:$Z$30,'Plate 2'!$Z$32:$Z$38,'Plate 2'!$Z$40:$Z$46</c:f>
                <c:numCache>
                  <c:formatCode>General</c:formatCode>
                  <c:ptCount val="28"/>
                  <c:pt idx="0">
                    <c:v>0.345589215410658</c:v>
                  </c:pt>
                  <c:pt idx="1">
                    <c:v>0</c:v>
                  </c:pt>
                  <c:pt idx="2">
                    <c:v>1.02079925937618</c:v>
                  </c:pt>
                  <c:pt idx="3">
                    <c:v>0.878258579823142</c:v>
                  </c:pt>
                  <c:pt idx="4">
                    <c:v>0.162527555238406</c:v>
                  </c:pt>
                  <c:pt idx="5">
                    <c:v>0.384623288610695</c:v>
                  </c:pt>
                  <c:pt idx="6">
                    <c:v>0.774586788446785</c:v>
                  </c:pt>
                  <c:pt idx="7">
                    <c:v>0.418448465478564</c:v>
                  </c:pt>
                  <c:pt idx="8">
                    <c:v>0.619029770896131</c:v>
                  </c:pt>
                  <c:pt idx="9">
                    <c:v>0.51134522305095</c:v>
                  </c:pt>
                  <c:pt idx="10">
                    <c:v>3.15237787422633</c:v>
                  </c:pt>
                  <c:pt idx="11">
                    <c:v>0.428689023697315</c:v>
                  </c:pt>
                  <c:pt idx="12">
                    <c:v>0.900809427515046</c:v>
                  </c:pt>
                  <c:pt idx="13">
                    <c:v>0.242651226109739</c:v>
                  </c:pt>
                  <c:pt idx="14">
                    <c:v>2.04617031480455</c:v>
                  </c:pt>
                  <c:pt idx="15">
                    <c:v>0.607034117673087</c:v>
                  </c:pt>
                  <c:pt idx="16">
                    <c:v>0.0766180220648234</c:v>
                  </c:pt>
                  <c:pt idx="17">
                    <c:v>4.68348073631976</c:v>
                  </c:pt>
                  <c:pt idx="18">
                    <c:v>0.864283551220461</c:v>
                  </c:pt>
                  <c:pt idx="19">
                    <c:v>0.456909829650715</c:v>
                  </c:pt>
                  <c:pt idx="20">
                    <c:v>1.66011713773861</c:v>
                  </c:pt>
                  <c:pt idx="21">
                    <c:v>0.153787146530238</c:v>
                  </c:pt>
                  <c:pt idx="22">
                    <c:v>0.0725653664540367</c:v>
                  </c:pt>
                  <c:pt idx="23">
                    <c:v>0.202057078636079</c:v>
                  </c:pt>
                  <c:pt idx="24">
                    <c:v>1.00318942188248</c:v>
                  </c:pt>
                  <c:pt idx="25">
                    <c:v>0.0582455926729969</c:v>
                  </c:pt>
                  <c:pt idx="26">
                    <c:v>0.106820045641857</c:v>
                  </c:pt>
                  <c:pt idx="27">
                    <c:v>0.144011066689255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'Plate 2'!$O$16:$O$22,'Plate 2'!$O$24:$O$30,'Plate 2'!$O$32:$O$38,'Plate 2'!$O$40:$O$46</c:f>
              <c:strCache>
                <c:ptCount val="28"/>
                <c:pt idx="0">
                  <c:v>C093–A001</c:v>
                </c:pt>
                <c:pt idx="1">
                  <c:v>C093–A002</c:v>
                </c:pt>
                <c:pt idx="2">
                  <c:v>C093–A006</c:v>
                </c:pt>
                <c:pt idx="3">
                  <c:v>C093–A011</c:v>
                </c:pt>
                <c:pt idx="4">
                  <c:v>C093–A025</c:v>
                </c:pt>
                <c:pt idx="5">
                  <c:v>C093–A030</c:v>
                </c:pt>
                <c:pt idx="6">
                  <c:v>C093–A036</c:v>
                </c:pt>
                <c:pt idx="7">
                  <c:v>C028–A001</c:v>
                </c:pt>
                <c:pt idx="8">
                  <c:v>C028–A002</c:v>
                </c:pt>
                <c:pt idx="9">
                  <c:v>C028–A006</c:v>
                </c:pt>
                <c:pt idx="10">
                  <c:v>C028–A011</c:v>
                </c:pt>
                <c:pt idx="11">
                  <c:v>C028–A025</c:v>
                </c:pt>
                <c:pt idx="12">
                  <c:v>C028–A030</c:v>
                </c:pt>
                <c:pt idx="13">
                  <c:v>C028–A036</c:v>
                </c:pt>
                <c:pt idx="14">
                  <c:v>C037–A001</c:v>
                </c:pt>
                <c:pt idx="15">
                  <c:v>C037–A002</c:v>
                </c:pt>
                <c:pt idx="16">
                  <c:v>C037–A006</c:v>
                </c:pt>
                <c:pt idx="17">
                  <c:v>C037–A011</c:v>
                </c:pt>
                <c:pt idx="18">
                  <c:v>C037–A025</c:v>
                </c:pt>
                <c:pt idx="19">
                  <c:v>C037–A030</c:v>
                </c:pt>
                <c:pt idx="20">
                  <c:v>C037–A036</c:v>
                </c:pt>
                <c:pt idx="21">
                  <c:v>C054–A001</c:v>
                </c:pt>
                <c:pt idx="22">
                  <c:v>C054–A002</c:v>
                </c:pt>
                <c:pt idx="23">
                  <c:v>C054–A006</c:v>
                </c:pt>
                <c:pt idx="24">
                  <c:v>C054–A011</c:v>
                </c:pt>
                <c:pt idx="25">
                  <c:v>C054–A025</c:v>
                </c:pt>
                <c:pt idx="26">
                  <c:v>C054–A030</c:v>
                </c:pt>
                <c:pt idx="27">
                  <c:v>C054–A036</c:v>
                </c:pt>
              </c:strCache>
            </c:strRef>
          </c:cat>
          <c:val>
            <c:numRef>
              <c:f>'Plate 2'!$Y$16:$Y$22,'Plate 2'!$Y$24:$Y$30,'Plate 2'!$Y$32:$Y$38,'Plate 2'!$Y$40:$Y$46</c:f>
              <c:numCache>
                <c:formatCode>General</c:formatCode>
                <c:ptCount val="28"/>
                <c:pt idx="0">
                  <c:v>-0.981057039143296</c:v>
                </c:pt>
                <c:pt idx="1">
                  <c:v>2.90853282882648</c:v>
                </c:pt>
                <c:pt idx="2">
                  <c:v>-0.327614030814478</c:v>
                </c:pt>
                <c:pt idx="3">
                  <c:v>5.4609939563089</c:v>
                </c:pt>
                <c:pt idx="4">
                  <c:v>-1.50466063590229</c:v>
                </c:pt>
                <c:pt idx="5">
                  <c:v>-1.75626544628293</c:v>
                </c:pt>
                <c:pt idx="6">
                  <c:v>-1.16940595786985</c:v>
                </c:pt>
                <c:pt idx="7">
                  <c:v>1.15363970675699</c:v>
                </c:pt>
                <c:pt idx="8">
                  <c:v>1.40077156566023</c:v>
                </c:pt>
                <c:pt idx="9">
                  <c:v>-0.562529108750658</c:v>
                </c:pt>
                <c:pt idx="10">
                  <c:v>55.5788018274584</c:v>
                </c:pt>
                <c:pt idx="11">
                  <c:v>-0.409468526938998</c:v>
                </c:pt>
                <c:pt idx="12">
                  <c:v>-1.41048101742538</c:v>
                </c:pt>
                <c:pt idx="13">
                  <c:v>-1.715333039107</c:v>
                </c:pt>
                <c:pt idx="14">
                  <c:v>-0.575509438528115</c:v>
                </c:pt>
                <c:pt idx="15">
                  <c:v>2.84746956044567</c:v>
                </c:pt>
                <c:pt idx="16">
                  <c:v>1.0479501058741</c:v>
                </c:pt>
                <c:pt idx="17">
                  <c:v>31.2917451551695</c:v>
                </c:pt>
                <c:pt idx="18">
                  <c:v>-0.408116839179991</c:v>
                </c:pt>
                <c:pt idx="19">
                  <c:v>0.204249306792617</c:v>
                </c:pt>
                <c:pt idx="20">
                  <c:v>0.0444612408673666</c:v>
                </c:pt>
                <c:pt idx="21">
                  <c:v>0.227413726785019</c:v>
                </c:pt>
                <c:pt idx="22">
                  <c:v>0.335383655872038</c:v>
                </c:pt>
                <c:pt idx="23">
                  <c:v>0.0542016473140628</c:v>
                </c:pt>
                <c:pt idx="24">
                  <c:v>7.8168619015575</c:v>
                </c:pt>
                <c:pt idx="25">
                  <c:v>-0.189876016347419</c:v>
                </c:pt>
                <c:pt idx="26">
                  <c:v>-0.482119164429599</c:v>
                </c:pt>
                <c:pt idx="27">
                  <c:v>-0.669890262434775</c:v>
                </c:pt>
              </c:numCache>
            </c:numRef>
          </c:val>
        </c:ser>
        <c:gapWidth val="182"/>
        <c:overlap val="0"/>
        <c:axId val="27775996"/>
        <c:axId val="52086828"/>
      </c:barChart>
      <c:catAx>
        <c:axId val="2777599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086828"/>
        <c:crosses val="autoZero"/>
        <c:auto val="1"/>
        <c:lblAlgn val="ctr"/>
        <c:lblOffset val="100"/>
        <c:noMultiLvlLbl val="0"/>
      </c:catAx>
      <c:valAx>
        <c:axId val="52086828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1" lang="de-A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308904152751"/>
              <c:y val="0.96152908181929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775996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t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13</xdr:row>
      <xdr:rowOff>0</xdr:rowOff>
    </xdr:from>
    <xdr:to>
      <xdr:col>36</xdr:col>
      <xdr:colOff>605160</xdr:colOff>
      <xdr:row>43</xdr:row>
      <xdr:rowOff>189360</xdr:rowOff>
    </xdr:to>
    <xdr:graphicFrame>
      <xdr:nvGraphicFramePr>
        <xdr:cNvPr id="0" name="Diagramm 2"/>
        <xdr:cNvGraphicFramePr/>
      </xdr:nvGraphicFramePr>
      <xdr:xfrm>
        <a:off x="15742800" y="2523960"/>
        <a:ext cx="5712480" cy="590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47</xdr:row>
      <xdr:rowOff>9360</xdr:rowOff>
    </xdr:from>
    <xdr:to>
      <xdr:col>13</xdr:col>
      <xdr:colOff>456480</xdr:colOff>
      <xdr:row>60</xdr:row>
      <xdr:rowOff>123120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0" y="9010440"/>
          <a:ext cx="6391800" cy="2590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13</xdr:row>
      <xdr:rowOff>0</xdr:rowOff>
    </xdr:from>
    <xdr:to>
      <xdr:col>36</xdr:col>
      <xdr:colOff>605160</xdr:colOff>
      <xdr:row>43</xdr:row>
      <xdr:rowOff>189360</xdr:rowOff>
    </xdr:to>
    <xdr:graphicFrame>
      <xdr:nvGraphicFramePr>
        <xdr:cNvPr id="2" name="Diagramm 2"/>
        <xdr:cNvGraphicFramePr/>
      </xdr:nvGraphicFramePr>
      <xdr:xfrm>
        <a:off x="15742800" y="2523960"/>
        <a:ext cx="5712480" cy="590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108720</xdr:rowOff>
    </xdr:from>
    <xdr:to>
      <xdr:col>14</xdr:col>
      <xdr:colOff>10800</xdr:colOff>
      <xdr:row>63</xdr:row>
      <xdr:rowOff>87480</xdr:rowOff>
    </xdr:to>
    <xdr:pic>
      <xdr:nvPicPr>
        <xdr:cNvPr id="3" name="Grafik 3" descr=""/>
        <xdr:cNvPicPr/>
      </xdr:nvPicPr>
      <xdr:blipFill>
        <a:blip r:embed="rId2"/>
        <a:stretch/>
      </xdr:blipFill>
      <xdr:spPr>
        <a:xfrm>
          <a:off x="0" y="8728920"/>
          <a:ext cx="6675840" cy="3407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9.12109375" defaultRowHeight="15" zeroHeight="false" outlineLevelRow="0" outlineLevelCol="0"/>
  <cols>
    <col collapsed="false" customWidth="true" hidden="false" outlineLevel="0" max="13" min="1" style="0" width="5.71"/>
    <col collapsed="false" customWidth="true" hidden="false" outlineLevel="0" max="15" min="15" style="0" width="15.71"/>
    <col collapsed="false" customWidth="true" hidden="false" outlineLevel="0" max="16" min="16" style="0" width="1.43"/>
    <col collapsed="false" customWidth="true" hidden="false" outlineLevel="0" max="20" min="20" style="0" width="1.43"/>
    <col collapsed="false" customWidth="true" hidden="false" outlineLevel="0" max="24" min="24" style="0" width="1.43"/>
    <col collapsed="false" customWidth="true" hidden="false" outlineLevel="0" max="28" min="27" style="0" width="5.71"/>
  </cols>
  <sheetData>
    <row r="1" customFormat="false" ht="18.7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E3" s="3" t="s">
        <v>2</v>
      </c>
      <c r="F3" s="3"/>
    </row>
    <row r="4" customFormat="false" ht="15" hidden="false" customHeight="false" outlineLevel="0" collapsed="false">
      <c r="A4" s="2" t="s">
        <v>3</v>
      </c>
      <c r="E4" s="4" t="s">
        <v>4</v>
      </c>
    </row>
    <row r="5" customFormat="false" ht="15" hidden="false" customHeight="false" outlineLevel="0" collapsed="false">
      <c r="A5" s="2" t="s">
        <v>5</v>
      </c>
      <c r="E5" s="0" t="s">
        <v>6</v>
      </c>
    </row>
    <row r="6" customFormat="false" ht="15" hidden="false" customHeight="false" outlineLevel="0" collapsed="false">
      <c r="A6" s="2" t="s">
        <v>7</v>
      </c>
      <c r="E6" s="5" t="s">
        <v>8</v>
      </c>
    </row>
    <row r="7" customFormat="false" ht="15" hidden="false" customHeight="false" outlineLevel="0" collapsed="false">
      <c r="A7" s="2" t="s">
        <v>9</v>
      </c>
      <c r="E7" s="3" t="s">
        <v>10</v>
      </c>
      <c r="F7" s="3"/>
    </row>
    <row r="8" customFormat="false" ht="15" hidden="false" customHeight="false" outlineLevel="0" collapsed="false">
      <c r="A8" s="2" t="s">
        <v>11</v>
      </c>
      <c r="E8" s="6" t="s">
        <v>12</v>
      </c>
      <c r="F8" s="6"/>
    </row>
    <row r="10" customFormat="false" ht="15" hidden="false" customHeight="false" outlineLevel="0" collapsed="false">
      <c r="A10" s="2" t="s">
        <v>13</v>
      </c>
      <c r="O10" s="2" t="s">
        <v>14</v>
      </c>
      <c r="P10" s="7"/>
    </row>
    <row r="11" customFormat="false" ht="15" hidden="false" customHeight="true" outlineLevel="0" collapsed="false">
      <c r="B11" s="8" t="n">
        <v>1</v>
      </c>
      <c r="C11" s="8" t="n">
        <v>2</v>
      </c>
      <c r="D11" s="8" t="n">
        <v>3</v>
      </c>
      <c r="E11" s="8" t="n">
        <v>4</v>
      </c>
      <c r="F11" s="8" t="n">
        <v>5</v>
      </c>
      <c r="G11" s="8" t="n">
        <v>6</v>
      </c>
      <c r="H11" s="8" t="n">
        <v>7</v>
      </c>
      <c r="I11" s="8" t="n">
        <v>8</v>
      </c>
      <c r="J11" s="8" t="n">
        <v>9</v>
      </c>
      <c r="K11" s="8" t="n">
        <v>10</v>
      </c>
      <c r="L11" s="8" t="n">
        <v>11</v>
      </c>
      <c r="M11" s="8" t="n">
        <v>12</v>
      </c>
      <c r="O11" s="9" t="s">
        <v>15</v>
      </c>
      <c r="P11" s="9"/>
      <c r="Q11" s="9"/>
      <c r="R11" s="9"/>
      <c r="S11" s="0" t="n">
        <v>2216</v>
      </c>
    </row>
    <row r="12" customFormat="false" ht="15" hidden="false" customHeight="true" outlineLevel="0" collapsed="false">
      <c r="A12" s="8" t="s">
        <v>16</v>
      </c>
      <c r="B12" s="10" t="s">
        <v>17</v>
      </c>
      <c r="C12" s="10"/>
      <c r="D12" s="10"/>
      <c r="E12" s="11" t="s">
        <v>18</v>
      </c>
      <c r="F12" s="11"/>
      <c r="G12" s="11"/>
      <c r="H12" s="11" t="s">
        <v>19</v>
      </c>
      <c r="I12" s="11"/>
      <c r="J12" s="11"/>
      <c r="K12" s="12" t="s">
        <v>20</v>
      </c>
      <c r="L12" s="12"/>
      <c r="M12" s="12"/>
      <c r="O12" s="13" t="s">
        <v>21</v>
      </c>
      <c r="P12" s="13"/>
      <c r="Q12" s="13"/>
      <c r="R12" s="13"/>
      <c r="S12" s="14" t="n">
        <v>2</v>
      </c>
    </row>
    <row r="13" customFormat="false" ht="15" hidden="false" customHeight="true" outlineLevel="0" collapsed="false">
      <c r="A13" s="8" t="s">
        <v>22</v>
      </c>
      <c r="B13" s="15" t="s">
        <v>23</v>
      </c>
      <c r="C13" s="15"/>
      <c r="D13" s="15"/>
      <c r="E13" s="16" t="s">
        <v>24</v>
      </c>
      <c r="F13" s="16"/>
      <c r="G13" s="16"/>
      <c r="H13" s="16" t="s">
        <v>25</v>
      </c>
      <c r="I13" s="16"/>
      <c r="J13" s="16"/>
      <c r="K13" s="17" t="s">
        <v>26</v>
      </c>
      <c r="L13" s="17"/>
      <c r="M13" s="17"/>
      <c r="O13" s="18"/>
      <c r="P13" s="18"/>
      <c r="Q13" s="18"/>
      <c r="R13" s="18"/>
      <c r="S13" s="19"/>
    </row>
    <row r="14" customFormat="false" ht="15" hidden="false" customHeight="true" outlineLevel="0" collapsed="false">
      <c r="A14" s="8" t="s">
        <v>27</v>
      </c>
      <c r="B14" s="15" t="s">
        <v>28</v>
      </c>
      <c r="C14" s="15"/>
      <c r="D14" s="15"/>
      <c r="E14" s="16" t="s">
        <v>29</v>
      </c>
      <c r="F14" s="16"/>
      <c r="G14" s="16"/>
      <c r="H14" s="16" t="s">
        <v>30</v>
      </c>
      <c r="I14" s="16"/>
      <c r="J14" s="16"/>
      <c r="K14" s="17" t="s">
        <v>31</v>
      </c>
      <c r="L14" s="17"/>
      <c r="M14" s="17"/>
      <c r="O14" s="20" t="s">
        <v>32</v>
      </c>
      <c r="P14" s="21"/>
      <c r="Q14" s="22" t="s">
        <v>33</v>
      </c>
      <c r="R14" s="22"/>
      <c r="S14" s="22"/>
      <c r="T14" s="23"/>
      <c r="U14" s="22" t="s">
        <v>34</v>
      </c>
      <c r="V14" s="22"/>
      <c r="W14" s="22"/>
      <c r="X14" s="23"/>
      <c r="Y14" s="24" t="s">
        <v>35</v>
      </c>
      <c r="Z14" s="24"/>
      <c r="AA14" s="25" t="s">
        <v>36</v>
      </c>
      <c r="AB14" s="25"/>
    </row>
    <row r="15" customFormat="false" ht="15" hidden="false" customHeight="true" outlineLevel="0" collapsed="false">
      <c r="A15" s="8" t="s">
        <v>37</v>
      </c>
      <c r="B15" s="15" t="s">
        <v>38</v>
      </c>
      <c r="C15" s="15"/>
      <c r="D15" s="15"/>
      <c r="E15" s="16" t="s">
        <v>39</v>
      </c>
      <c r="F15" s="16"/>
      <c r="G15" s="16"/>
      <c r="H15" s="16" t="s">
        <v>40</v>
      </c>
      <c r="I15" s="16"/>
      <c r="J15" s="16"/>
      <c r="K15" s="17" t="s">
        <v>41</v>
      </c>
      <c r="L15" s="17"/>
      <c r="M15" s="17"/>
      <c r="O15" s="20"/>
      <c r="P15" s="26"/>
      <c r="Q15" s="27" t="s">
        <v>42</v>
      </c>
      <c r="R15" s="28" t="s">
        <v>43</v>
      </c>
      <c r="S15" s="29" t="s">
        <v>44</v>
      </c>
      <c r="T15" s="30"/>
      <c r="U15" s="27" t="s">
        <v>42</v>
      </c>
      <c r="V15" s="28" t="s">
        <v>43</v>
      </c>
      <c r="W15" s="29" t="s">
        <v>44</v>
      </c>
      <c r="X15" s="30"/>
      <c r="Y15" s="27" t="s">
        <v>42</v>
      </c>
      <c r="Z15" s="31" t="s">
        <v>44</v>
      </c>
      <c r="AA15" s="32" t="s">
        <v>45</v>
      </c>
      <c r="AB15" s="32" t="s">
        <v>46</v>
      </c>
    </row>
    <row r="16" customFormat="false" ht="15" hidden="false" customHeight="true" outlineLevel="0" collapsed="false">
      <c r="A16" s="8" t="s">
        <v>47</v>
      </c>
      <c r="B16" s="15" t="s">
        <v>48</v>
      </c>
      <c r="C16" s="15"/>
      <c r="D16" s="15"/>
      <c r="E16" s="16" t="s">
        <v>49</v>
      </c>
      <c r="F16" s="16"/>
      <c r="G16" s="16"/>
      <c r="H16" s="16" t="s">
        <v>50</v>
      </c>
      <c r="I16" s="16"/>
      <c r="J16" s="16"/>
      <c r="K16" s="17" t="s">
        <v>51</v>
      </c>
      <c r="L16" s="17"/>
      <c r="M16" s="17"/>
      <c r="O16" s="33" t="str">
        <f aca="false">B12</f>
        <v>C122–A001</v>
      </c>
      <c r="P16" s="34"/>
      <c r="Q16" s="35" t="n">
        <f aca="false">AVERAGE(B36:D36)</f>
        <v>-2.17890989988874</v>
      </c>
      <c r="R16" s="35" t="n">
        <f aca="false">Q16-$Q$23</f>
        <v>0.0908565072303302</v>
      </c>
      <c r="S16" s="35" t="n">
        <f aca="false">_xlfn.STDEV.P(B36:D36)</f>
        <v>1.16110012606076</v>
      </c>
      <c r="T16" s="35"/>
      <c r="U16" s="35" t="n">
        <f aca="false">AVERAGE((B36/B23),(C36/C23),(D36/D23))</f>
        <v>-9.86077316560819</v>
      </c>
      <c r="V16" s="35" t="n">
        <f aca="false">-(U16-$U$23)</f>
        <v>-0.653350578223789</v>
      </c>
      <c r="W16" s="35" t="n">
        <f aca="false">_xlfn.STDEV.P((B36/B23),(C36/C23),(D36/D23))</f>
        <v>5.24582157743092</v>
      </c>
      <c r="X16" s="35"/>
      <c r="Y16" s="36" t="n">
        <f aca="false">V16/($S$11*$S$12)*1000</f>
        <v>-0.147416646711144</v>
      </c>
      <c r="Z16" s="37" t="n">
        <f aca="false">W16/($S$11*$S$12)*1000</f>
        <v>1.18362400212792</v>
      </c>
      <c r="AA16" s="38" t="str">
        <f aca="false">IF(AND(Y16&gt;(Z16*5),Y16&gt;($Y$23/2)),"Hit","")</f>
        <v/>
      </c>
      <c r="AB16" s="39" t="str">
        <f aca="false">IF(AND(Y16&gt;(Z16*3),Y16&gt;($Y$23/2)),"Hit","")</f>
        <v/>
      </c>
    </row>
    <row r="17" customFormat="false" ht="15" hidden="false" customHeight="true" outlineLevel="0" collapsed="false">
      <c r="A17" s="8" t="s">
        <v>52</v>
      </c>
      <c r="B17" s="15" t="s">
        <v>53</v>
      </c>
      <c r="C17" s="15"/>
      <c r="D17" s="15"/>
      <c r="E17" s="16" t="s">
        <v>54</v>
      </c>
      <c r="F17" s="16"/>
      <c r="G17" s="16"/>
      <c r="H17" s="16" t="s">
        <v>55</v>
      </c>
      <c r="I17" s="16"/>
      <c r="J17" s="16"/>
      <c r="K17" s="17" t="s">
        <v>56</v>
      </c>
      <c r="L17" s="17"/>
      <c r="M17" s="17"/>
      <c r="O17" s="33" t="str">
        <f aca="false">B13</f>
        <v>C122–A002</v>
      </c>
      <c r="P17" s="34"/>
      <c r="Q17" s="35" t="n">
        <f aca="false">AVERAGE(B37:D37)</f>
        <v>-2.55267334074895</v>
      </c>
      <c r="R17" s="35" t="n">
        <f aca="false">Q17-$Q$23</f>
        <v>-0.28290693362988</v>
      </c>
      <c r="S17" s="35" t="n">
        <f aca="false">_xlfn.STDEV.P(B37:D37)</f>
        <v>0.402674559725606</v>
      </c>
      <c r="T17" s="35"/>
      <c r="U17" s="35" t="n">
        <f aca="false">AVERAGE((B37/B24),(C37/C24),(D37/D24))</f>
        <v>-10.7349426443009</v>
      </c>
      <c r="V17" s="35" t="n">
        <f aca="false">-(U17-$U$23)</f>
        <v>0.22081890046889</v>
      </c>
      <c r="W17" s="35" t="n">
        <f aca="false">_xlfn.STDEV.P((B37/B24),(C37/C24),(D37/D24))</f>
        <v>1.9710771618032</v>
      </c>
      <c r="X17" s="35"/>
      <c r="Y17" s="36" t="n">
        <f aca="false">V17/($S$11*$S$12)*1000</f>
        <v>0.0498237591310672</v>
      </c>
      <c r="Z17" s="37" t="n">
        <f aca="false">W17/($S$11*$S$12)*1000</f>
        <v>0.44473762676065</v>
      </c>
      <c r="AA17" s="38" t="str">
        <f aca="false">IF(AND(Y17&gt;(Z17*5),Y17&gt;($Y$23/2)),"Hit","")</f>
        <v/>
      </c>
      <c r="AB17" s="39" t="str">
        <f aca="false">IF(AND(Y17&gt;(Z17*3),Y17&gt;($Y$23/2)),"Hit","")</f>
        <v/>
      </c>
    </row>
    <row r="18" customFormat="false" ht="15" hidden="false" customHeight="true" outlineLevel="0" collapsed="false">
      <c r="A18" s="8" t="s">
        <v>57</v>
      </c>
      <c r="B18" s="15" t="s">
        <v>58</v>
      </c>
      <c r="C18" s="15"/>
      <c r="D18" s="15"/>
      <c r="E18" s="16" t="s">
        <v>59</v>
      </c>
      <c r="F18" s="16"/>
      <c r="G18" s="16"/>
      <c r="H18" s="16" t="s">
        <v>60</v>
      </c>
      <c r="I18" s="16"/>
      <c r="J18" s="16"/>
      <c r="K18" s="17" t="s">
        <v>61</v>
      </c>
      <c r="L18" s="17"/>
      <c r="M18" s="17"/>
      <c r="O18" s="33" t="str">
        <f aca="false">B14</f>
        <v>C122–A006</v>
      </c>
      <c r="P18" s="34"/>
      <c r="Q18" s="35" t="n">
        <f aca="false">AVERAGE(B38:D38)</f>
        <v>-1.82602892102342</v>
      </c>
      <c r="R18" s="35" t="n">
        <f aca="false">Q18-$Q$23</f>
        <v>0.44373748609565</v>
      </c>
      <c r="S18" s="35" t="n">
        <f aca="false">_xlfn.STDEV.P(B38:D38)</f>
        <v>0.535091069776068</v>
      </c>
      <c r="T18" s="35"/>
      <c r="U18" s="35" t="n">
        <f aca="false">AVERAGE((B38/B25),(C38/C25),(D38/D25))</f>
        <v>-8.53052488931625</v>
      </c>
      <c r="V18" s="35" t="n">
        <f aca="false">-(U18-$U$23)</f>
        <v>-1.98359885451573</v>
      </c>
      <c r="W18" s="35" t="n">
        <f aca="false">_xlfn.STDEV.P((B38/B25),(C38/C25),(D38/D25))</f>
        <v>2.19184861453059</v>
      </c>
      <c r="X18" s="35"/>
      <c r="Y18" s="36" t="n">
        <f aca="false">V18/($S$11*$S$12)*1000</f>
        <v>-0.447562918437665</v>
      </c>
      <c r="Z18" s="37" t="n">
        <f aca="false">W18/($S$11*$S$12)*1000</f>
        <v>0.49455068017387</v>
      </c>
      <c r="AA18" s="38" t="str">
        <f aca="false">IF(AND(Y18&gt;(Z18*5),Y18&gt;($Y$23/2)),"Hit","")</f>
        <v/>
      </c>
      <c r="AB18" s="39" t="str">
        <f aca="false">IF(AND(Y18&gt;(Z18*3),Y18&gt;($Y$23/2)),"Hit","")</f>
        <v/>
      </c>
    </row>
    <row r="19" customFormat="false" ht="15" hidden="false" customHeight="true" outlineLevel="0" collapsed="false">
      <c r="A19" s="8" t="s">
        <v>62</v>
      </c>
      <c r="B19" s="40" t="s">
        <v>63</v>
      </c>
      <c r="C19" s="40"/>
      <c r="D19" s="40"/>
      <c r="E19" s="41" t="s">
        <v>64</v>
      </c>
      <c r="F19" s="41"/>
      <c r="G19" s="41"/>
      <c r="H19" s="41" t="s">
        <v>65</v>
      </c>
      <c r="I19" s="41"/>
      <c r="J19" s="41"/>
      <c r="K19" s="42" t="s">
        <v>66</v>
      </c>
      <c r="L19" s="42"/>
      <c r="M19" s="42"/>
      <c r="O19" s="43" t="str">
        <f aca="false">B15</f>
        <v>C122–A011</v>
      </c>
      <c r="P19" s="44"/>
      <c r="Q19" s="45" t="n">
        <f aca="false">AVERAGE(B39:D39)</f>
        <v>-19.1050505050505</v>
      </c>
      <c r="R19" s="45" t="n">
        <f aca="false">Q19-$Q$23</f>
        <v>-16.8352840979315</v>
      </c>
      <c r="S19" s="45" t="n">
        <f aca="false">_xlfn.STDEV.P(B39:D39)</f>
        <v>0.734553677544056</v>
      </c>
      <c r="T19" s="45"/>
      <c r="U19" s="45" t="n">
        <f aca="false">AVERAGE((B39/B26),(C39/C26),(D39/D26))</f>
        <v>-84.5165786235638</v>
      </c>
      <c r="V19" s="45" t="n">
        <f aca="false">-(U19-$U$23)</f>
        <v>74.0024548797318</v>
      </c>
      <c r="W19" s="45" t="n">
        <f aca="false">_xlfn.STDEV.P((B39/B26),(C39/C26),(D39/D26))</f>
        <v>3.29198399131963</v>
      </c>
      <c r="X19" s="45"/>
      <c r="Y19" s="46" t="n">
        <f aca="false">V19/($S$11*$S$12)*1000</f>
        <v>16.6973048013835</v>
      </c>
      <c r="Z19" s="47" t="n">
        <f aca="false">W19/($S$11*$S$12)*1000</f>
        <v>0.742776171326631</v>
      </c>
      <c r="AA19" s="38" t="str">
        <f aca="false">IF(AND(Y19&gt;(Z19*5),Y19&gt;($Y$23/2)),"Hit","")</f>
        <v>Hit</v>
      </c>
      <c r="AB19" s="39" t="str">
        <f aca="false">IF(AND(Y19&gt;(Z19*3),Y19&gt;($Y$23/2)),"Hit","")</f>
        <v>Hit</v>
      </c>
    </row>
    <row r="20" customFormat="false" ht="15" hidden="false" customHeight="true" outlineLevel="0" collapsed="false">
      <c r="O20" s="33" t="str">
        <f aca="false">B16</f>
        <v>C122–A025</v>
      </c>
      <c r="P20" s="34"/>
      <c r="Q20" s="35" t="n">
        <f aca="false">AVERAGE(B40:D40)</f>
        <v>-1.89042639970331</v>
      </c>
      <c r="R20" s="35" t="n">
        <f aca="false">Q20-$Q$23</f>
        <v>0.379340007415754</v>
      </c>
      <c r="S20" s="35" t="n">
        <f aca="false">_xlfn.STDEV.P(B40:D40)</f>
        <v>0.27993661121627</v>
      </c>
      <c r="T20" s="35"/>
      <c r="U20" s="35" t="n">
        <f aca="false">AVERAGE((B40/B27),(C40/C27),(D40/D27))</f>
        <v>-8.25290416038124</v>
      </c>
      <c r="V20" s="35" t="n">
        <f aca="false">-(U20-$U$23)</f>
        <v>-2.26121958345074</v>
      </c>
      <c r="W20" s="35" t="n">
        <f aca="false">_xlfn.STDEV.P((B40/B27),(C40/C27),(D40/D27))</f>
        <v>1.38698090690075</v>
      </c>
      <c r="X20" s="35"/>
      <c r="Y20" s="36" t="n">
        <f aca="false">V20/($S$11*$S$12)*1000</f>
        <v>-0.510202974605311</v>
      </c>
      <c r="Z20" s="37" t="n">
        <f aca="false">W20/($S$11*$S$12)*1000</f>
        <v>0.312946955528148</v>
      </c>
      <c r="AA20" s="38" t="str">
        <f aca="false">IF(AND(Y20&gt;(Z20*5),Y20&gt;($Y$23/2)),"Hit","")</f>
        <v/>
      </c>
      <c r="AB20" s="39" t="str">
        <f aca="false">IF(AND(Y20&gt;(Z20*3),Y20&gt;($Y$23/2)),"Hit","")</f>
        <v/>
      </c>
    </row>
    <row r="21" customFormat="false" ht="15" hidden="false" customHeight="true" outlineLevel="0" collapsed="false">
      <c r="A21" s="2" t="s">
        <v>67</v>
      </c>
      <c r="E21" s="48" t="s">
        <v>68</v>
      </c>
      <c r="O21" s="33" t="str">
        <f aca="false">B17</f>
        <v>C122–A030</v>
      </c>
      <c r="P21" s="34"/>
      <c r="Q21" s="35" t="n">
        <f aca="false">AVERAGE(B41:D41)</f>
        <v>-45.9795476455321</v>
      </c>
      <c r="R21" s="35" t="n">
        <f aca="false">Q21-$Q$23</f>
        <v>-43.709781238413</v>
      </c>
      <c r="S21" s="35" t="n">
        <f aca="false">_xlfn.STDEV.P(B41:D41)</f>
        <v>5.25107324789785</v>
      </c>
      <c r="T21" s="35"/>
      <c r="U21" s="35" t="n">
        <f aca="false">AVERAGE((B41/B28),(C41/C28),(D41/D28))</f>
        <v>-206.317437281869</v>
      </c>
      <c r="V21" s="35" t="n">
        <f aca="false">-(U21-$U$23)</f>
        <v>195.803313538037</v>
      </c>
      <c r="W21" s="35" t="n">
        <f aca="false">_xlfn.STDEV.P((B41/B28),(C41/C28),(D41/D28))</f>
        <v>32.365096030979</v>
      </c>
      <c r="X21" s="35"/>
      <c r="Y21" s="36" t="n">
        <f aca="false">V21/($S$11*$S$12)*1000</f>
        <v>44.1794480004596</v>
      </c>
      <c r="Z21" s="37" t="n">
        <f aca="false">W21/($S$11*$S$12)*1000</f>
        <v>7.30259386980573</v>
      </c>
      <c r="AA21" s="38"/>
      <c r="AB21" s="39"/>
    </row>
    <row r="22" customFormat="false" ht="15" hidden="false" customHeight="true" outlineLevel="0" collapsed="false">
      <c r="B22" s="8" t="n">
        <v>1</v>
      </c>
      <c r="C22" s="8" t="n">
        <v>2</v>
      </c>
      <c r="D22" s="8" t="n">
        <v>3</v>
      </c>
      <c r="E22" s="8" t="n">
        <v>4</v>
      </c>
      <c r="F22" s="8" t="n">
        <v>5</v>
      </c>
      <c r="G22" s="8" t="n">
        <v>6</v>
      </c>
      <c r="H22" s="8" t="n">
        <v>7</v>
      </c>
      <c r="I22" s="8" t="n">
        <v>8</v>
      </c>
      <c r="J22" s="8" t="n">
        <v>9</v>
      </c>
      <c r="K22" s="8" t="n">
        <v>10</v>
      </c>
      <c r="L22" s="8" t="n">
        <v>11</v>
      </c>
      <c r="M22" s="8" t="n">
        <v>12</v>
      </c>
      <c r="O22" s="33" t="str">
        <f aca="false">B18</f>
        <v>C122–A036</v>
      </c>
      <c r="P22" s="34"/>
      <c r="Q22" s="35" t="n">
        <f aca="false">AVERAGE(B42:D42)</f>
        <v>-28.0771820541345</v>
      </c>
      <c r="R22" s="35" t="n">
        <f aca="false">Q22-$Q$23</f>
        <v>-25.8074156470154</v>
      </c>
      <c r="S22" s="35" t="n">
        <f aca="false">_xlfn.STDEV.P(B42:D42)</f>
        <v>7.49165899186992</v>
      </c>
      <c r="T22" s="35"/>
      <c r="U22" s="35" t="n">
        <f aca="false">AVERAGE((B42/B29),(C42/C29),(D42/D29))</f>
        <v>-116.988258558894</v>
      </c>
      <c r="V22" s="35" t="n">
        <f aca="false">-(U22-$U$23)</f>
        <v>106.474134815062</v>
      </c>
      <c r="W22" s="35" t="n">
        <f aca="false">_xlfn.STDEV.P((B42/B29),(C42/C29),(D42/D29))</f>
        <v>31.215245799458</v>
      </c>
      <c r="X22" s="35"/>
      <c r="Y22" s="36" t="n">
        <f aca="false">V22/($S$11*$S$12)*1000</f>
        <v>24.0239473860699</v>
      </c>
      <c r="Z22" s="37" t="n">
        <f aca="false">W22/($S$11*$S$12)*1000</f>
        <v>7.04315112803655</v>
      </c>
      <c r="AA22" s="38"/>
      <c r="AB22" s="39"/>
    </row>
    <row r="23" customFormat="false" ht="15" hidden="false" customHeight="true" outlineLevel="0" collapsed="false">
      <c r="A23" s="8" t="s">
        <v>16</v>
      </c>
      <c r="B23" s="49" t="n">
        <v>0.21891288160834</v>
      </c>
      <c r="C23" s="50" t="n">
        <v>0.222635889798957</v>
      </c>
      <c r="D23" s="50" t="n">
        <v>0.22114668652271</v>
      </c>
      <c r="E23" s="50" t="n">
        <v>0.209233060312733</v>
      </c>
      <c r="F23" s="50" t="n">
        <v>0.219657483246463</v>
      </c>
      <c r="G23" s="50" t="n">
        <v>0.222635889798957</v>
      </c>
      <c r="H23" s="50" t="n">
        <v>0.226358897989576</v>
      </c>
      <c r="I23" s="50" t="n">
        <v>0.236038719285182</v>
      </c>
      <c r="J23" s="50" t="n">
        <v>0.230081906180194</v>
      </c>
      <c r="K23" s="50" t="n">
        <v>0.215934475055845</v>
      </c>
      <c r="L23" s="50" t="n">
        <v>0.214445271779598</v>
      </c>
      <c r="M23" s="51" t="n">
        <v>0.218168279970216</v>
      </c>
      <c r="O23" s="52" t="str">
        <f aca="false">B19</f>
        <v>C122 w/o amine</v>
      </c>
      <c r="P23" s="53"/>
      <c r="Q23" s="54" t="n">
        <f aca="false">AVERAGE(B43:D43)</f>
        <v>-2.26976640711907</v>
      </c>
      <c r="R23" s="54"/>
      <c r="S23" s="54" t="n">
        <f aca="false">_xlfn.STDEV.P(B43:D43)</f>
        <v>0.562866272126197</v>
      </c>
      <c r="T23" s="54"/>
      <c r="U23" s="54" t="n">
        <f aca="false">AVERAGE((C43/C30),(D43/D30))</f>
        <v>-10.514123743832</v>
      </c>
      <c r="V23" s="54" t="n">
        <f aca="false">-U23</f>
        <v>10.514123743832</v>
      </c>
      <c r="W23" s="54" t="n">
        <f aca="false">_xlfn.STDEV.P((C43/C30),(D43/D30))</f>
        <v>2.93890077552795</v>
      </c>
      <c r="X23" s="54"/>
      <c r="Y23" s="54" t="n">
        <f aca="false">V23/($S$11*$S$12)*1000</f>
        <v>2.37232033931227</v>
      </c>
      <c r="Z23" s="55" t="n">
        <f aca="false">W23/($S$11*$S$12)*1000</f>
        <v>0.663109380759917</v>
      </c>
      <c r="AA23" s="38"/>
    </row>
    <row r="24" customFormat="false" ht="15" hidden="false" customHeight="true" outlineLevel="0" collapsed="false">
      <c r="A24" s="8" t="s">
        <v>22</v>
      </c>
      <c r="B24" s="56" t="n">
        <v>0.230826507818317</v>
      </c>
      <c r="C24" s="57" t="n">
        <v>0.25614296351452</v>
      </c>
      <c r="D24" s="57" t="n">
        <v>0.230081906180194</v>
      </c>
      <c r="E24" s="57" t="n">
        <v>0.222635889798957</v>
      </c>
      <c r="F24" s="57" t="n">
        <v>0.2397617274758</v>
      </c>
      <c r="G24" s="57" t="n">
        <v>0.232315711094564</v>
      </c>
      <c r="H24" s="57" t="n">
        <v>0.224125093075205</v>
      </c>
      <c r="I24" s="57" t="n">
        <v>0.22933730454207</v>
      </c>
      <c r="J24" s="57" t="n">
        <v>0.230081906180194</v>
      </c>
      <c r="K24" s="57" t="n">
        <v>0.236038719285182</v>
      </c>
      <c r="L24" s="57" t="n">
        <v>0.231571109456441</v>
      </c>
      <c r="M24" s="58" t="n">
        <v>0.223380491437081</v>
      </c>
      <c r="O24" s="43" t="str">
        <f aca="false">E12</f>
        <v>C003–A001</v>
      </c>
      <c r="P24" s="59"/>
      <c r="Q24" s="60" t="n">
        <f aca="false">AVERAGE(E36:G36)</f>
        <v>-5.07087875417126</v>
      </c>
      <c r="R24" s="60" t="n">
        <f aca="false">Q24-$Q$31</f>
        <v>-3.72183908045969</v>
      </c>
      <c r="S24" s="45" t="n">
        <f aca="false">_xlfn.STDEV.P(E36:G36)</f>
        <v>0.439543570867055</v>
      </c>
      <c r="T24" s="59"/>
      <c r="U24" s="45" t="n">
        <f aca="false">AVERAGE((E36/E23),(F36/F23),(G36/G23))</f>
        <v>-23.3238506202488</v>
      </c>
      <c r="V24" s="60" t="n">
        <f aca="false">-(U24-$U$31)</f>
        <v>17.1512885521523</v>
      </c>
      <c r="W24" s="45" t="n">
        <f aca="false">_xlfn.STDEV.P((E36/E23),(F36/F23),(G36/G23))</f>
        <v>1.61220414705448</v>
      </c>
      <c r="X24" s="59"/>
      <c r="Y24" s="46" t="n">
        <f aca="false">V24/($S$11*$S$12)*1000</f>
        <v>3.86987557584664</v>
      </c>
      <c r="Z24" s="47" t="n">
        <f aca="false">W24/($S$11*$S$12)*1000</f>
        <v>0.363764473613375</v>
      </c>
      <c r="AA24" s="38" t="str">
        <f aca="false">IF(AND(Y24&gt;(Z24*5),Y24&gt;($Y$31/2)),"Hit","")</f>
        <v>Hit</v>
      </c>
      <c r="AB24" s="39" t="str">
        <f aca="false">IF(AND(Y24&gt;(Z24*3),Y24&gt;($Y$31/2)),"Hit","")</f>
        <v>Hit</v>
      </c>
    </row>
    <row r="25" customFormat="false" ht="15" hidden="false" customHeight="true" outlineLevel="0" collapsed="false">
      <c r="A25" s="8" t="s">
        <v>27</v>
      </c>
      <c r="B25" s="56" t="n">
        <v>0.190618019359643</v>
      </c>
      <c r="C25" s="57" t="n">
        <v>0.223380491437081</v>
      </c>
      <c r="D25" s="57" t="n">
        <v>0.225614296351452</v>
      </c>
      <c r="E25" s="57" t="n">
        <v>0.228592702903946</v>
      </c>
      <c r="F25" s="57" t="n">
        <v>0.228592702903946</v>
      </c>
      <c r="G25" s="57" t="n">
        <v>0.230826507818317</v>
      </c>
      <c r="H25" s="57" t="n">
        <v>0.218168279970216</v>
      </c>
      <c r="I25" s="57" t="n">
        <v>0.226358897989576</v>
      </c>
      <c r="J25" s="57" t="n">
        <v>0.227103499627699</v>
      </c>
      <c r="K25" s="57" t="n">
        <v>0.220402084884587</v>
      </c>
      <c r="L25" s="57" t="n">
        <v>0.224125093075205</v>
      </c>
      <c r="M25" s="58" t="n">
        <v>0.211466865227103</v>
      </c>
      <c r="O25" s="33" t="str">
        <f aca="false">E13</f>
        <v>C003–A002</v>
      </c>
      <c r="P25" s="26"/>
      <c r="Q25" s="61" t="n">
        <f aca="false">AVERAGE(E37:G37)</f>
        <v>-43.810101010101</v>
      </c>
      <c r="R25" s="61" t="n">
        <f aca="false">Q25-$Q$31</f>
        <v>-42.4610613363894</v>
      </c>
      <c r="S25" s="35" t="n">
        <f aca="false">_xlfn.STDEV.P(E37:G37)</f>
        <v>2.06382216837099</v>
      </c>
      <c r="T25" s="26"/>
      <c r="U25" s="35" t="n">
        <f aca="false">AVERAGE((E37/E24),(F37/F24),(G37/G24))</f>
        <v>-189.240206934772</v>
      </c>
      <c r="V25" s="61" t="n">
        <f aca="false">-(U25-$U$31)</f>
        <v>183.067644866676</v>
      </c>
      <c r="W25" s="35" t="n">
        <f aca="false">_xlfn.STDEV.P((E37/E24),(F37/F24),(G37/G24))</f>
        <v>8.18445946944504</v>
      </c>
      <c r="X25" s="26"/>
      <c r="Y25" s="36" t="n">
        <f aca="false">V25/($S$11*$S$12)*1000</f>
        <v>41.3058765493403</v>
      </c>
      <c r="Z25" s="37" t="n">
        <f aca="false">W25/($S$11*$S$12)*1000</f>
        <v>1.84667406801558</v>
      </c>
      <c r="AA25" s="38" t="str">
        <f aca="false">IF(AND(Y25&gt;(Z25*5),Y25&gt;($Y$31/2)),"Hit","")</f>
        <v>Hit</v>
      </c>
      <c r="AB25" s="39" t="str">
        <f aca="false">IF(AND(Y25&gt;(Z25*3),Y25&gt;($Y$31/2)),"Hit","")</f>
        <v>Hit</v>
      </c>
    </row>
    <row r="26" customFormat="false" ht="15" hidden="false" customHeight="true" outlineLevel="0" collapsed="false">
      <c r="A26" s="8" t="s">
        <v>37</v>
      </c>
      <c r="B26" s="56" t="n">
        <v>0.231571109456441</v>
      </c>
      <c r="C26" s="57" t="n">
        <v>0.227103499627699</v>
      </c>
      <c r="D26" s="57" t="n">
        <v>0.219657483246463</v>
      </c>
      <c r="E26" s="57" t="n">
        <v>0.221891288160834</v>
      </c>
      <c r="F26" s="57" t="n">
        <v>0.226358897989576</v>
      </c>
      <c r="G26" s="57" t="n">
        <v>0.235294117647059</v>
      </c>
      <c r="H26" s="57" t="n">
        <v>0.212211466865227</v>
      </c>
      <c r="I26" s="57" t="n">
        <v>0.213700670141474</v>
      </c>
      <c r="J26" s="57" t="n">
        <v>0.224869694713328</v>
      </c>
      <c r="K26" s="57" t="n">
        <v>0.225614296351452</v>
      </c>
      <c r="L26" s="57" t="n">
        <v>0.223380491437081</v>
      </c>
      <c r="M26" s="58" t="n">
        <v>0.215934475055845</v>
      </c>
      <c r="O26" s="33" t="str">
        <f aca="false">E14</f>
        <v>C003–A006</v>
      </c>
      <c r="P26" s="26"/>
      <c r="Q26" s="61" t="n">
        <f aca="false">AVERAGE(E38:G38)</f>
        <v>-6.40433073785687</v>
      </c>
      <c r="R26" s="61" t="n">
        <f aca="false">Q26-$Q$31</f>
        <v>-5.0552910641453</v>
      </c>
      <c r="S26" s="35" t="n">
        <f aca="false">_xlfn.STDEV.P(E38:G38)</f>
        <v>0.318786725061045</v>
      </c>
      <c r="T26" s="26"/>
      <c r="U26" s="35" t="n">
        <f aca="false">AVERAGE((E38/E25),(F38/F25),(G38/G25))</f>
        <v>-27.92264718573</v>
      </c>
      <c r="V26" s="61" t="n">
        <f aca="false">-(U26-$U$31)</f>
        <v>21.7500851176335</v>
      </c>
      <c r="W26" s="35" t="n">
        <f aca="false">_xlfn.STDEV.P((E38/E25),(F38/F25),(G38/G25))</f>
        <v>1.330295222758</v>
      </c>
      <c r="X26" s="26"/>
      <c r="Y26" s="36" t="n">
        <f aca="false">V26/($S$11*$S$12)*1000</f>
        <v>4.90751017997146</v>
      </c>
      <c r="Z26" s="37" t="n">
        <f aca="false">W26/($S$11*$S$12)*1000</f>
        <v>0.300156864340704</v>
      </c>
      <c r="AA26" s="38" t="str">
        <f aca="false">IF(AND(Y26&gt;(Z26*5),Y26&gt;($Y$31/2)),"Hit","")</f>
        <v>Hit</v>
      </c>
      <c r="AB26" s="39" t="str">
        <f aca="false">IF(AND(Y26&gt;(Z26*3),Y26&gt;($Y$31/2)),"Hit","")</f>
        <v>Hit</v>
      </c>
    </row>
    <row r="27" customFormat="false" ht="15" hidden="false" customHeight="true" outlineLevel="0" collapsed="false">
      <c r="A27" s="8" t="s">
        <v>47</v>
      </c>
      <c r="B27" s="56" t="n">
        <v>0.225614296351452</v>
      </c>
      <c r="C27" s="57" t="n">
        <v>0.240506329113924</v>
      </c>
      <c r="D27" s="57" t="n">
        <v>0.223380491437081</v>
      </c>
      <c r="E27" s="57" t="n">
        <v>0.227848101265823</v>
      </c>
      <c r="F27" s="57" t="n">
        <v>0.233804914370812</v>
      </c>
      <c r="G27" s="57" t="n">
        <v>0.215189873417721</v>
      </c>
      <c r="H27" s="57" t="n">
        <v>0.224125093075205</v>
      </c>
      <c r="I27" s="57" t="n">
        <v>0.225614296351452</v>
      </c>
      <c r="J27" s="57" t="n">
        <v>0.250930752047654</v>
      </c>
      <c r="K27" s="57" t="n">
        <v>0.228592702903946</v>
      </c>
      <c r="L27" s="57" t="n">
        <v>0.218168279970216</v>
      </c>
      <c r="M27" s="58" t="n">
        <v>0.213700670141474</v>
      </c>
      <c r="O27" s="33" t="str">
        <f aca="false">E15</f>
        <v>C003–A011</v>
      </c>
      <c r="P27" s="26"/>
      <c r="Q27" s="61" t="n">
        <f aca="false">AVERAGE(E39:G39)</f>
        <v>-191.666666666667</v>
      </c>
      <c r="R27" s="61" t="n">
        <f aca="false">Q27-$Q$31</f>
        <v>-190.317626992955</v>
      </c>
      <c r="S27" s="35" t="n">
        <f aca="false">_xlfn.STDEV.P(E39:G39)</f>
        <v>12.8245424436464</v>
      </c>
      <c r="T27" s="26"/>
      <c r="U27" s="35" t="n">
        <f aca="false">AVERAGE((F39/F26),(G39/G26))</f>
        <v>-849.829440789473</v>
      </c>
      <c r="V27" s="61" t="n">
        <f aca="false">-(U27-$U$31)</f>
        <v>843.656878721376</v>
      </c>
      <c r="W27" s="35" t="n">
        <f aca="false">_xlfn.STDEV.P((F39/F26),(G39/G26))</f>
        <v>41.8205592105268</v>
      </c>
      <c r="X27" s="26"/>
      <c r="Y27" s="36" t="n">
        <f aca="false">V27/($S$11*$S$12)*1000</f>
        <v>190.355793935329</v>
      </c>
      <c r="Z27" s="37" t="n">
        <f aca="false">W27/($S$11*$S$12)*1000</f>
        <v>9.43604675327771</v>
      </c>
      <c r="AA27" s="38" t="str">
        <f aca="false">IF(AND(Y27&gt;(Z27*5),Y27&gt;($Y$31/2)),"Hit","")</f>
        <v>Hit</v>
      </c>
      <c r="AB27" s="39" t="str">
        <f aca="false">IF(AND(Y27&gt;(Z27*3),Y27&gt;($Y$31/2)),"Hit","")</f>
        <v>Hit</v>
      </c>
    </row>
    <row r="28" customFormat="false" ht="15" hidden="false" customHeight="true" outlineLevel="0" collapsed="false">
      <c r="A28" s="8" t="s">
        <v>52</v>
      </c>
      <c r="B28" s="56" t="n">
        <v>0.212956068503351</v>
      </c>
      <c r="C28" s="57" t="n">
        <v>0.239017125837677</v>
      </c>
      <c r="D28" s="57" t="n">
        <v>0.22114668652271</v>
      </c>
      <c r="E28" s="57" t="n">
        <v>0.227848101265823</v>
      </c>
      <c r="F28" s="57" t="n">
        <v>0.230826507818317</v>
      </c>
      <c r="G28" s="57" t="n">
        <v>0.226358897989576</v>
      </c>
      <c r="H28" s="57" t="n">
        <v>0.215189873417721</v>
      </c>
      <c r="I28" s="57" t="n">
        <v>0.221891288160834</v>
      </c>
      <c r="J28" s="57" t="n">
        <v>0.218912881608339</v>
      </c>
      <c r="K28" s="57" t="n">
        <v>0.222635889798957</v>
      </c>
      <c r="L28" s="57" t="n">
        <v>0.215189873417721</v>
      </c>
      <c r="M28" s="58" t="n">
        <v>0.206254653760238</v>
      </c>
      <c r="O28" s="43" t="str">
        <f aca="false">E16</f>
        <v>C003–A025</v>
      </c>
      <c r="P28" s="59"/>
      <c r="Q28" s="60" t="n">
        <f aca="false">AVERAGE(E40:G40)</f>
        <v>-6.58923248053396</v>
      </c>
      <c r="R28" s="60" t="n">
        <f aca="false">Q28-$Q$31</f>
        <v>-5.24019280682239</v>
      </c>
      <c r="S28" s="45" t="n">
        <f aca="false">_xlfn.STDEV.P(E40:G40)</f>
        <v>0.128438545607512</v>
      </c>
      <c r="T28" s="59"/>
      <c r="U28" s="45" t="n">
        <f aca="false">AVERAGE((E40/E27),(F40/F27),(G40/G27))</f>
        <v>-29.2345614905585</v>
      </c>
      <c r="V28" s="60" t="n">
        <f aca="false">-(U28-$U$31)</f>
        <v>23.061999422462</v>
      </c>
      <c r="W28" s="45" t="n">
        <f aca="false">_xlfn.STDEV.P((E40/E27),(F40/F27),(G40/G27))</f>
        <v>0.999644686239039</v>
      </c>
      <c r="X28" s="59"/>
      <c r="Y28" s="46" t="n">
        <f aca="false">V28/($S$11*$S$12)*1000</f>
        <v>5.20351972528475</v>
      </c>
      <c r="Z28" s="47" t="n">
        <f aca="false">W28/($S$11*$S$12)*1000</f>
        <v>0.22555159888065</v>
      </c>
      <c r="AA28" s="38" t="str">
        <f aca="false">IF(AND(Y28&gt;(Z28*5),Y28&gt;($Y$31/2)),"Hit","")</f>
        <v>Hit</v>
      </c>
      <c r="AB28" s="39" t="str">
        <f aca="false">IF(AND(Y28&gt;(Z28*3),Y28&gt;($Y$31/2)),"Hit","")</f>
        <v>Hit</v>
      </c>
    </row>
    <row r="29" customFormat="false" ht="15" hidden="false" customHeight="true" outlineLevel="0" collapsed="false">
      <c r="A29" s="8" t="s">
        <v>57</v>
      </c>
      <c r="B29" s="56" t="n">
        <v>0.24</v>
      </c>
      <c r="C29" s="57" t="n">
        <v>0.24</v>
      </c>
      <c r="D29" s="57" t="n">
        <v>0.24</v>
      </c>
      <c r="E29" s="57" t="n">
        <v>0.213700670141474</v>
      </c>
      <c r="F29" s="57" t="n">
        <v>0.22114668652271</v>
      </c>
      <c r="G29" s="57" t="n">
        <v>0.218168279970216</v>
      </c>
      <c r="H29" s="57" t="n">
        <v>0.221891288160834</v>
      </c>
      <c r="I29" s="57" t="n">
        <v>0.219657483246463</v>
      </c>
      <c r="J29" s="57" t="n">
        <v>0.22933730454207</v>
      </c>
      <c r="K29" s="57" t="n">
        <v>0.222635889798957</v>
      </c>
      <c r="L29" s="57" t="n">
        <v>0.219657483246463</v>
      </c>
      <c r="M29" s="58" t="n">
        <v>0.206254653760238</v>
      </c>
      <c r="O29" s="62" t="str">
        <f aca="false">E17</f>
        <v>C003–A030</v>
      </c>
      <c r="P29" s="63"/>
      <c r="Q29" s="64" t="n">
        <f aca="false">AVERAGE(E41:G41)</f>
        <v>-4.80602150537638</v>
      </c>
      <c r="R29" s="64" t="n">
        <f aca="false">Q29-$Q$31</f>
        <v>-3.45698183166481</v>
      </c>
      <c r="S29" s="65" t="n">
        <f aca="false">_xlfn.STDEV.P(E41:G41)</f>
        <v>0.291596940780341</v>
      </c>
      <c r="T29" s="66"/>
      <c r="U29" s="65" t="n">
        <f aca="false">AVERAGE((E41/E28),(F41/F28),(G41/G28))</f>
        <v>-21.0430918163349</v>
      </c>
      <c r="V29" s="64" t="n">
        <f aca="false">-(U29-$U$31)</f>
        <v>14.8705297482384</v>
      </c>
      <c r="W29" s="65" t="n">
        <f aca="false">_xlfn.STDEV.P((E41/E28),(F41/F28),(G41/G28))</f>
        <v>1.19140587038063</v>
      </c>
      <c r="X29" s="66"/>
      <c r="Y29" s="67" t="n">
        <f aca="false">V29/($S$11*$S$12)*1000</f>
        <v>3.35526393236426</v>
      </c>
      <c r="Z29" s="68" t="n">
        <f aca="false">W29/($S$11*$S$12)*1000</f>
        <v>0.268819014075052</v>
      </c>
      <c r="AA29" s="38" t="str">
        <f aca="false">IF(AND(Y29&gt;(Z29*5),Y29&gt;($Y$31/2)),"Hit","")</f>
        <v>Hit</v>
      </c>
      <c r="AB29" s="39" t="str">
        <f aca="false">IF(AND(Y29&gt;(Z29*3),Y29&gt;($Y$31/2)),"Hit","")</f>
        <v>Hit</v>
      </c>
    </row>
    <row r="30" customFormat="false" ht="15" hidden="false" customHeight="true" outlineLevel="0" collapsed="false">
      <c r="A30" s="8" t="s">
        <v>62</v>
      </c>
      <c r="B30" s="69" t="n">
        <v>0.244973938942666</v>
      </c>
      <c r="C30" s="70" t="n">
        <v>0.225614296351452</v>
      </c>
      <c r="D30" s="70" t="n">
        <v>0.224125093075205</v>
      </c>
      <c r="E30" s="70" t="n">
        <v>0.224869694713328</v>
      </c>
      <c r="F30" s="70" t="n">
        <v>0.217423678332092</v>
      </c>
      <c r="G30" s="70" t="n">
        <v>0.212211466865227</v>
      </c>
      <c r="H30" s="70" t="n">
        <v>0.218168279970216</v>
      </c>
      <c r="I30" s="70" t="n">
        <v>0.230826507818317</v>
      </c>
      <c r="J30" s="70" t="n">
        <v>0.209233060312733</v>
      </c>
      <c r="K30" s="70" t="n">
        <v>0.215934475055845</v>
      </c>
      <c r="L30" s="70" t="n">
        <v>0.206254653760238</v>
      </c>
      <c r="M30" s="71" t="n">
        <v>0.205510052122115</v>
      </c>
      <c r="O30" s="33" t="str">
        <f aca="false">E18</f>
        <v>C003–A036</v>
      </c>
      <c r="P30" s="72"/>
      <c r="Q30" s="61" t="n">
        <f aca="false">AVERAGE(E42:G42)</f>
        <v>-1.20674823878388</v>
      </c>
      <c r="R30" s="61" t="n">
        <f aca="false">Q30-$Q$31</f>
        <v>0.14229143492769</v>
      </c>
      <c r="S30" s="35" t="n">
        <f aca="false">_xlfn.STDEV.P(E42:G42)</f>
        <v>0.0731878903401954</v>
      </c>
      <c r="T30" s="72"/>
      <c r="U30" s="35" t="n">
        <f aca="false">AVERAGE((E42/E29),(F42/F29),(G42/G29))</f>
        <v>-5.54102848401626</v>
      </c>
      <c r="V30" s="61" t="n">
        <f aca="false">-(U30-$U$31)</f>
        <v>-0.631533584080257</v>
      </c>
      <c r="W30" s="35" t="n">
        <f aca="false">_xlfn.STDEV.P((E42/E29),(F42/F29),(G42/G29))</f>
        <v>0.277776390680885</v>
      </c>
      <c r="X30" s="72"/>
      <c r="Y30" s="36" t="n">
        <f aca="false">V30/($S$11*$S$12)*1000</f>
        <v>-0.1424940397293</v>
      </c>
      <c r="Z30" s="37" t="n">
        <f aca="false">W30/($S$11*$S$12)*1000</f>
        <v>0.0626751784027268</v>
      </c>
      <c r="AA30" s="38" t="str">
        <f aca="false">IF(AND(Y30&gt;(Z30*5),Y30&gt;($Y$31/2)),"Hit","")</f>
        <v/>
      </c>
      <c r="AB30" s="39" t="str">
        <f aca="false">IF(AND(Y30&gt;(Z30*3),Y30&gt;($Y$31/2)),"Hit","")</f>
        <v/>
      </c>
    </row>
    <row r="31" customFormat="false" ht="15" hidden="false" customHeight="true" outlineLevel="0" collapsed="false">
      <c r="O31" s="52" t="str">
        <f aca="false">E19</f>
        <v>C003 w/o amine</v>
      </c>
      <c r="P31" s="53"/>
      <c r="Q31" s="73" t="n">
        <f aca="false">AVERAGE(E43:G43)</f>
        <v>-1.34903967371157</v>
      </c>
      <c r="R31" s="73"/>
      <c r="S31" s="54" t="n">
        <f aca="false">_xlfn.STDEV.P(E43:G43)</f>
        <v>0.167466887811369</v>
      </c>
      <c r="T31" s="74"/>
      <c r="U31" s="54" t="n">
        <f aca="false">AVERAGE((E43/E30),(F43/F30),(G43/G30))</f>
        <v>-6.17256206809651</v>
      </c>
      <c r="V31" s="75" t="n">
        <f aca="false">-U31</f>
        <v>6.17256206809651</v>
      </c>
      <c r="W31" s="54" t="n">
        <f aca="false">_xlfn.STDEV.P((E43/E30),(F43/F30),(G43/G30))</f>
        <v>0.670062873693145</v>
      </c>
      <c r="X31" s="74"/>
      <c r="Y31" s="54" t="n">
        <f aca="false">V31/($S$11*$S$12)*1000</f>
        <v>1.39272609839723</v>
      </c>
      <c r="Z31" s="55" t="n">
        <f aca="false">W31/($S$11*$S$12)*1000</f>
        <v>0.151187471501161</v>
      </c>
      <c r="AA31" s="38"/>
    </row>
    <row r="32" customFormat="false" ht="15" hidden="false" customHeight="true" outlineLevel="0" collapsed="false">
      <c r="B32" s="76"/>
      <c r="C32" s="77" t="s">
        <v>69</v>
      </c>
      <c r="O32" s="78" t="str">
        <f aca="false">H12</f>
        <v>C067–A001</v>
      </c>
      <c r="P32" s="26"/>
      <c r="Q32" s="61" t="n">
        <f aca="false">AVERAGE(H36:J36)</f>
        <v>-0.931316277345187</v>
      </c>
      <c r="R32" s="61" t="n">
        <f aca="false">Q32-$Q$39</f>
        <v>0.186384872080201</v>
      </c>
      <c r="S32" s="35" t="n">
        <f aca="false">_xlfn.STDEV.P(H36:J36)</f>
        <v>0.0484025864622619</v>
      </c>
      <c r="T32" s="30"/>
      <c r="U32" s="35" t="n">
        <f aca="false">AVERAGE((H36/H23),(I36/I23),(J36/J23))</f>
        <v>-4.03933946320324</v>
      </c>
      <c r="V32" s="61" t="n">
        <f aca="false">-(U32-$U$39)</f>
        <v>-1.03851663114194</v>
      </c>
      <c r="W32" s="35" t="n">
        <f aca="false">_xlfn.STDEV.P((H36/H23),(I36/I23),(J36/J23))</f>
        <v>0.274715783204763</v>
      </c>
      <c r="X32" s="30"/>
      <c r="Y32" s="36" t="n">
        <f aca="false">V32/($S$11*$S$12)*1000</f>
        <v>-0.234322344571737</v>
      </c>
      <c r="Z32" s="37" t="n">
        <f aca="false">W32/($S$11*$S$12)*1000</f>
        <v>0.0619846081238184</v>
      </c>
      <c r="AA32" s="38" t="str">
        <f aca="false">IF(AND(Y32&gt;(Z32*5),Y32&gt;($Y$39/2)),"Hit","")</f>
        <v/>
      </c>
      <c r="AB32" s="39" t="str">
        <f aca="false">IF(AND(Y32&gt;(Z32*3),Y32&gt;($Y$39/2)),"Hit","")</f>
        <v/>
      </c>
    </row>
    <row r="33" customFormat="false" ht="15" hidden="false" customHeight="true" outlineLevel="0" collapsed="false">
      <c r="O33" s="78" t="str">
        <f aca="false">H13</f>
        <v>C067–A002</v>
      </c>
      <c r="P33" s="34"/>
      <c r="Q33" s="61" t="n">
        <f aca="false">AVERAGE(H37:J37)</f>
        <v>-2.21143492769748</v>
      </c>
      <c r="R33" s="61" t="n">
        <f aca="false">Q33-$Q$39</f>
        <v>-1.09373377827209</v>
      </c>
      <c r="S33" s="35" t="n">
        <f aca="false">_xlfn.STDEV.P(H37:J37)</f>
        <v>0.813087334620732</v>
      </c>
      <c r="T33" s="35"/>
      <c r="U33" s="35" t="n">
        <f aca="false">AVERAGE((H37/H24),(I37/I24),(J37/J24))</f>
        <v>-9.71904974473697</v>
      </c>
      <c r="V33" s="61" t="n">
        <f aca="false">-(U33-$U$39)</f>
        <v>4.64119365039179</v>
      </c>
      <c r="W33" s="35" t="n">
        <f aca="false">_xlfn.STDEV.P((H37/H24),(I37/I24),(J37/J24))</f>
        <v>3.58610401834325</v>
      </c>
      <c r="X33" s="35"/>
      <c r="Y33" s="36" t="n">
        <f aca="false">V33/($S$11*$S$12)*1000</f>
        <v>1.04720073339165</v>
      </c>
      <c r="Z33" s="37" t="n">
        <f aca="false">W33/($S$11*$S$12)*1000</f>
        <v>0.809138993308495</v>
      </c>
      <c r="AA33" s="38" t="str">
        <f aca="false">IF(AND(Y33&gt;(Z33*5),Y33&gt;($Y$39/2)),"Hit","")</f>
        <v/>
      </c>
      <c r="AB33" s="39" t="str">
        <f aca="false">IF(AND(Y33&gt;(Z33*3),Y33&gt;($Y$39/2)),"Hit","")</f>
        <v/>
      </c>
    </row>
    <row r="34" customFormat="false" ht="15" hidden="false" customHeight="true" outlineLevel="0" collapsed="false">
      <c r="A34" s="2" t="s">
        <v>70</v>
      </c>
      <c r="E34" s="48" t="s">
        <v>71</v>
      </c>
      <c r="O34" s="78" t="str">
        <f aca="false">H14</f>
        <v>C067–A006</v>
      </c>
      <c r="P34" s="34"/>
      <c r="Q34" s="61" t="n">
        <f aca="false">AVERAGE(H38:J38)</f>
        <v>-1.32849833147943</v>
      </c>
      <c r="R34" s="61" t="n">
        <f aca="false">Q34-$Q$39</f>
        <v>-0.210797182054041</v>
      </c>
      <c r="S34" s="35" t="n">
        <f aca="false">_xlfn.STDEV.P(H38:J38)</f>
        <v>0.562193655044284</v>
      </c>
      <c r="T34" s="35"/>
      <c r="U34" s="35" t="n">
        <f aca="false">AVERAGE((H38/H25),(I38/I25),(J38/J25))</f>
        <v>-5.98186725127309</v>
      </c>
      <c r="V34" s="61" t="n">
        <f aca="false">-(U34-$U$39)</f>
        <v>0.904011156927909</v>
      </c>
      <c r="W34" s="35" t="n">
        <f aca="false">_xlfn.STDEV.P((H38/H25),(I38/I25),(J38/J25))</f>
        <v>2.65064056732606</v>
      </c>
      <c r="X34" s="35"/>
      <c r="Y34" s="36" t="n">
        <f aca="false">V34/($S$11*$S$12)*1000</f>
        <v>0.203973636490954</v>
      </c>
      <c r="Z34" s="37" t="n">
        <f aca="false">W34/($S$11*$S$12)*1000</f>
        <v>0.598068720064544</v>
      </c>
      <c r="AA34" s="38" t="str">
        <f aca="false">IF(AND(Y34&gt;(Z34*5),Y34&gt;($Y$39/2)),"Hit","")</f>
        <v/>
      </c>
      <c r="AB34" s="39" t="str">
        <f aca="false">IF(AND(Y34&gt;(Z34*3),Y34&gt;($Y$39/2)),"Hit","")</f>
        <v/>
      </c>
    </row>
    <row r="35" customFormat="false" ht="15" hidden="false" customHeight="true" outlineLevel="0" collapsed="false">
      <c r="B35" s="8" t="n">
        <v>1</v>
      </c>
      <c r="C35" s="8" t="n">
        <v>2</v>
      </c>
      <c r="D35" s="8" t="n">
        <v>3</v>
      </c>
      <c r="E35" s="8" t="n">
        <v>4</v>
      </c>
      <c r="F35" s="8" t="n">
        <v>5</v>
      </c>
      <c r="G35" s="8" t="n">
        <v>6</v>
      </c>
      <c r="H35" s="8" t="n">
        <v>7</v>
      </c>
      <c r="I35" s="8" t="n">
        <v>8</v>
      </c>
      <c r="J35" s="8" t="n">
        <v>9</v>
      </c>
      <c r="K35" s="8" t="n">
        <v>10</v>
      </c>
      <c r="L35" s="8" t="n">
        <v>11</v>
      </c>
      <c r="M35" s="8" t="n">
        <v>12</v>
      </c>
      <c r="O35" s="79" t="str">
        <f aca="false">H15</f>
        <v>C067–A011</v>
      </c>
      <c r="P35" s="80"/>
      <c r="Q35" s="64" t="n">
        <f aca="false">AVERAGE(H39:J39)</f>
        <v>-21.5296969696969</v>
      </c>
      <c r="R35" s="64" t="n">
        <f aca="false">Q35-$Q$39</f>
        <v>-20.4119958202715</v>
      </c>
      <c r="S35" s="65" t="n">
        <f aca="false">_xlfn.STDEV.P(H39:J39)</f>
        <v>5.45936379775305</v>
      </c>
      <c r="T35" s="65"/>
      <c r="U35" s="65" t="n">
        <f aca="false">AVERAGE((H39/H26),(I39/I26),(J39/J26))</f>
        <v>-99.959145631005</v>
      </c>
      <c r="V35" s="64" t="n">
        <f aca="false">-(U35-$U$39)</f>
        <v>94.8812895366599</v>
      </c>
      <c r="W35" s="65" t="n">
        <f aca="false">_xlfn.STDEV.P((H39/H26),(I39/I26),(J39/J26))</f>
        <v>27.3011427196738</v>
      </c>
      <c r="X35" s="65"/>
      <c r="Y35" s="67" t="n">
        <f aca="false">V35/($S$11*$S$12)*1000</f>
        <v>21.4082331987049</v>
      </c>
      <c r="Z35" s="68" t="n">
        <f aca="false">W35/($S$11*$S$12)*1000</f>
        <v>6.16000512628019</v>
      </c>
      <c r="AA35" s="38" t="str">
        <f aca="false">IF(AND(Y35&gt;(Z35*5),Y35&gt;($Y$39/2)),"Hit","")</f>
        <v/>
      </c>
      <c r="AB35" s="39" t="str">
        <f aca="false">IF(AND(Y35&gt;(Z35*3),Y35&gt;($Y$39/2)),"Hit","")</f>
        <v>Hit</v>
      </c>
    </row>
    <row r="36" customFormat="false" ht="15" hidden="false" customHeight="true" outlineLevel="0" collapsed="false">
      <c r="A36" s="8" t="s">
        <v>16</v>
      </c>
      <c r="B36" s="81" t="n">
        <v>-1.3893659621802</v>
      </c>
      <c r="C36" s="82" t="n">
        <v>-1.32680756395994</v>
      </c>
      <c r="D36" s="82" t="n">
        <v>-3.82055617352607</v>
      </c>
      <c r="E36" s="82" t="n">
        <v>-4.52164627363731</v>
      </c>
      <c r="F36" s="82" t="n">
        <v>-5.59759733036699</v>
      </c>
      <c r="G36" s="82" t="n">
        <v>-5.09339265850949</v>
      </c>
      <c r="H36" s="82" t="n">
        <v>-0.97107897664069</v>
      </c>
      <c r="I36" s="82" t="n">
        <v>-0.863181312569586</v>
      </c>
      <c r="J36" s="82" t="n">
        <v>-0.959688542825286</v>
      </c>
      <c r="K36" s="82" t="n">
        <v>-0.977797552836483</v>
      </c>
      <c r="L36" s="82" t="n">
        <v>-1.07101223581763</v>
      </c>
      <c r="M36" s="83" t="n">
        <v>-1.07862068965521</v>
      </c>
      <c r="O36" s="78" t="str">
        <f aca="false">H16</f>
        <v>C067–A025</v>
      </c>
      <c r="P36" s="34"/>
      <c r="Q36" s="61" t="n">
        <f aca="false">AVERAGE(H40:J40)</f>
        <v>-1.27761216166107</v>
      </c>
      <c r="R36" s="61" t="n">
        <f aca="false">Q36-$Q$39</f>
        <v>-0.15991101223568</v>
      </c>
      <c r="S36" s="35" t="n">
        <f aca="false">_xlfn.STDEV.P(H40:J40)</f>
        <v>0.336763609911156</v>
      </c>
      <c r="T36" s="35"/>
      <c r="U36" s="35" t="n">
        <f aca="false">AVERAGE((H40/H27),(I40/I27),(J40/J27))</f>
        <v>-5.54000346806905</v>
      </c>
      <c r="V36" s="61" t="n">
        <f aca="false">-(U36-$U$39)</f>
        <v>0.462147373723864</v>
      </c>
      <c r="W36" s="35" t="n">
        <f aca="false">_xlfn.STDEV.P((H40/H27),(I40/I27),(J40/J27))</f>
        <v>1.66209720859314</v>
      </c>
      <c r="X36" s="35"/>
      <c r="Y36" s="36" t="n">
        <f aca="false">V36/($S$11*$S$12)*1000</f>
        <v>0.10427512945033</v>
      </c>
      <c r="Z36" s="37" t="n">
        <f aca="false">W36/($S$11*$S$12)*1000</f>
        <v>0.375021933346828</v>
      </c>
      <c r="AA36" s="38" t="str">
        <f aca="false">IF(AND(Y36&gt;(Z36*5),Y36&gt;($Y$39/2)),"Hit","")</f>
        <v/>
      </c>
      <c r="AB36" s="39" t="str">
        <f aca="false">IF(AND(Y36&gt;(Z36*3),Y36&gt;($Y$39/2)),"Hit","")</f>
        <v/>
      </c>
    </row>
    <row r="37" customFormat="false" ht="15" hidden="false" customHeight="true" outlineLevel="0" collapsed="false">
      <c r="A37" s="8" t="s">
        <v>22</v>
      </c>
      <c r="B37" s="84" t="n">
        <v>-2.17597330367059</v>
      </c>
      <c r="C37" s="85" t="n">
        <v>-2.37116796440495</v>
      </c>
      <c r="D37" s="85" t="n">
        <v>-3.1108787541713</v>
      </c>
      <c r="E37" s="86" t="n">
        <v>-41.5454545454544</v>
      </c>
      <c r="F37" s="86" t="n">
        <v>-43.3478787878787</v>
      </c>
      <c r="G37" s="86" t="n">
        <v>-46.5369696969699</v>
      </c>
      <c r="H37" s="85" t="n">
        <v>-2.66211345939937</v>
      </c>
      <c r="I37" s="85" t="n">
        <v>-1.06994438264738</v>
      </c>
      <c r="J37" s="85" t="n">
        <v>-2.90224694104568</v>
      </c>
      <c r="K37" s="85" t="n">
        <v>-1.50794215795332</v>
      </c>
      <c r="L37" s="85" t="n">
        <v>-1.46865406006671</v>
      </c>
      <c r="M37" s="87" t="n">
        <v>-1.27492769744159</v>
      </c>
      <c r="O37" s="78" t="str">
        <f aca="false">H17</f>
        <v>C067–A030</v>
      </c>
      <c r="P37" s="34"/>
      <c r="Q37" s="61" t="n">
        <f aca="false">AVERAGE(H41:J41)</f>
        <v>-0.422929180571053</v>
      </c>
      <c r="R37" s="61" t="n">
        <f aca="false">Q37-$Q$39</f>
        <v>0.694771968854335</v>
      </c>
      <c r="S37" s="35" t="n">
        <f aca="false">_xlfn.STDEV.P(H41:J41)</f>
        <v>0.00947446929880741</v>
      </c>
      <c r="T37" s="35"/>
      <c r="U37" s="35" t="n">
        <f aca="false">AVERAGE((H41/H28),(I41/I28),(J41/J28))</f>
        <v>-1.9349755328272</v>
      </c>
      <c r="V37" s="61" t="n">
        <f aca="false">-(U37-$U$39)</f>
        <v>-3.14288056151798</v>
      </c>
      <c r="W37" s="35" t="n">
        <f aca="false">_xlfn.STDEV.P((H41/H28),(I41/I28),(J41/J28))</f>
        <v>0.0673394605996421</v>
      </c>
      <c r="X37" s="35"/>
      <c r="Y37" s="36" t="n">
        <f aca="false">V37/($S$11*$S$12)*1000</f>
        <v>-0.709133700703515</v>
      </c>
      <c r="Z37" s="37" t="n">
        <f aca="false">W37/($S$11*$S$12)*1000</f>
        <v>0.0151939216154427</v>
      </c>
      <c r="AA37" s="38" t="str">
        <f aca="false">IF(AND(Y37&gt;(Z37*5),Y37&gt;($Y$39/2)),"Hit","")</f>
        <v/>
      </c>
      <c r="AB37" s="39" t="str">
        <f aca="false">IF(AND(Y37&gt;(Z37*3),Y37&gt;($Y$39/2)),"Hit","")</f>
        <v/>
      </c>
    </row>
    <row r="38" customFormat="false" ht="15" hidden="false" customHeight="true" outlineLevel="0" collapsed="false">
      <c r="A38" s="8" t="s">
        <v>27</v>
      </c>
      <c r="B38" s="84" t="n">
        <v>-1.53646273637388</v>
      </c>
      <c r="C38" s="85" t="n">
        <v>-1.36533926585101</v>
      </c>
      <c r="D38" s="85" t="n">
        <v>-2.57628476084536</v>
      </c>
      <c r="E38" s="85" t="n">
        <v>-5.95363737486089</v>
      </c>
      <c r="F38" s="85" t="n">
        <v>-6.61997775305905</v>
      </c>
      <c r="G38" s="85" t="n">
        <v>-6.63937708565067</v>
      </c>
      <c r="H38" s="85" t="n">
        <v>-2.11426028921024</v>
      </c>
      <c r="I38" s="85" t="n">
        <v>-1.04062291434939</v>
      </c>
      <c r="J38" s="85" t="n">
        <v>-0.830611790878658</v>
      </c>
      <c r="K38" s="85" t="n">
        <v>-1.01192436040033</v>
      </c>
      <c r="L38" s="85" t="n">
        <v>-1.08146829810909</v>
      </c>
      <c r="M38" s="87" t="n">
        <v>-0.988565072302484</v>
      </c>
      <c r="O38" s="78" t="str">
        <f aca="false">H18</f>
        <v>C067–A036</v>
      </c>
      <c r="P38" s="34"/>
      <c r="Q38" s="61" t="n">
        <f aca="false">AVERAGE(H42:J42)</f>
        <v>-0.597819799777562</v>
      </c>
      <c r="R38" s="61" t="n">
        <f aca="false">Q38-$Q$39</f>
        <v>0.519881349647827</v>
      </c>
      <c r="S38" s="35" t="n">
        <f aca="false">_xlfn.STDEV.P(H42:J42)</f>
        <v>0.0400667017067934</v>
      </c>
      <c r="T38" s="35"/>
      <c r="U38" s="35" t="n">
        <f aca="false">AVERAGE((H42/H29),(I42/I29),(J42/J29))</f>
        <v>-2.67365939034301</v>
      </c>
      <c r="V38" s="61" t="n">
        <f aca="false">-(U38-$U$39)</f>
        <v>-2.40419670400217</v>
      </c>
      <c r="W38" s="35" t="n">
        <f aca="false">_xlfn.STDEV.P((H42/H29),(I42/I29),(J42/J29))</f>
        <v>0.180061966927289</v>
      </c>
      <c r="X38" s="35"/>
      <c r="Y38" s="36" t="n">
        <f aca="false">V38/($S$11*$S$12)*1000</f>
        <v>-0.542463155235147</v>
      </c>
      <c r="Z38" s="37" t="n">
        <f aca="false">W38/($S$11*$S$12)*1000</f>
        <v>0.0406277001189732</v>
      </c>
      <c r="AA38" s="38" t="str">
        <f aca="false">IF(AND(Y38&gt;(Z38*5),Y38&gt;($Y$39/2)),"Hit","")</f>
        <v/>
      </c>
      <c r="AB38" s="39" t="str">
        <f aca="false">IF(AND(Y38&gt;(Z38*3),Y38&gt;($Y$39/2)),"Hit","")</f>
        <v/>
      </c>
    </row>
    <row r="39" customFormat="false" ht="15" hidden="false" customHeight="true" outlineLevel="0" collapsed="false">
      <c r="A39" s="8" t="s">
        <v>37</v>
      </c>
      <c r="B39" s="88" t="n">
        <v>-19.9406060606061</v>
      </c>
      <c r="C39" s="86" t="n">
        <v>-18.1527272727271</v>
      </c>
      <c r="D39" s="86" t="n">
        <v>-19.2218181818184</v>
      </c>
      <c r="E39" s="89" t="n">
        <v>-182.3</v>
      </c>
      <c r="F39" s="89" t="n">
        <v>-182.9</v>
      </c>
      <c r="G39" s="89" t="n">
        <v>-209.8</v>
      </c>
      <c r="H39" s="86" t="n">
        <v>-26.2230303030302</v>
      </c>
      <c r="I39" s="86" t="n">
        <v>-24.4921212121211</v>
      </c>
      <c r="J39" s="86" t="n">
        <v>-13.8739393939393</v>
      </c>
      <c r="K39" s="86" t="n">
        <v>-33.2642424242423</v>
      </c>
      <c r="L39" s="86" t="n">
        <v>-31.9830303030303</v>
      </c>
      <c r="M39" s="90" t="n">
        <v>-31.3599999999999</v>
      </c>
      <c r="O39" s="91" t="str">
        <f aca="false">H19</f>
        <v>C067 w/o amine</v>
      </c>
      <c r="P39" s="53"/>
      <c r="Q39" s="73" t="n">
        <f aca="false">AVERAGE(H43:J43)</f>
        <v>-1.11770114942539</v>
      </c>
      <c r="R39" s="54"/>
      <c r="S39" s="54" t="n">
        <f aca="false">_xlfn.STDEV.P(H43:J43)</f>
        <v>0.134112130241484</v>
      </c>
      <c r="T39" s="54"/>
      <c r="U39" s="54" t="n">
        <f aca="false">AVERAGE((H43/H30),(I43/I30),(J43/J30))</f>
        <v>-5.07785609434518</v>
      </c>
      <c r="V39" s="54" t="n">
        <f aca="false">-U39</f>
        <v>5.07785609434518</v>
      </c>
      <c r="W39" s="54" t="n">
        <f aca="false">_xlfn.STDEV.P((H43/H30),(I43/I30),(J43/J30))</f>
        <v>0.403548008339245</v>
      </c>
      <c r="X39" s="54"/>
      <c r="Y39" s="54" t="n">
        <f aca="false">V39/($S$11*$S$12)*1000</f>
        <v>1.14572565305622</v>
      </c>
      <c r="Z39" s="55" t="n">
        <f aca="false">W39/($S$11*$S$12)*1000</f>
        <v>0.0910532509790715</v>
      </c>
      <c r="AA39" s="38"/>
    </row>
    <row r="40" customFormat="false" ht="15" hidden="false" customHeight="true" outlineLevel="0" collapsed="false">
      <c r="A40" s="8" t="s">
        <v>47</v>
      </c>
      <c r="B40" s="84" t="n">
        <v>-1.64253615127914</v>
      </c>
      <c r="C40" s="85" t="n">
        <v>-1.74705228031138</v>
      </c>
      <c r="D40" s="85" t="n">
        <v>-2.28169076751942</v>
      </c>
      <c r="E40" s="85" t="n">
        <v>-6.43403781979987</v>
      </c>
      <c r="F40" s="85" t="n">
        <v>-6.74856507230257</v>
      </c>
      <c r="G40" s="85" t="n">
        <v>-6.58509454949944</v>
      </c>
      <c r="H40" s="85" t="n">
        <v>-1.73668520578406</v>
      </c>
      <c r="I40" s="85" t="n">
        <v>-1.15786429365967</v>
      </c>
      <c r="J40" s="85" t="n">
        <v>-0.938286985539477</v>
      </c>
      <c r="K40" s="85" t="n">
        <v>-1.1640934371523</v>
      </c>
      <c r="L40" s="85" t="n">
        <v>-1.23710789766391</v>
      </c>
      <c r="M40" s="87" t="n">
        <v>-1.18358175750839</v>
      </c>
      <c r="O40" s="78" t="str">
        <f aca="false">K12</f>
        <v>C042–A001</v>
      </c>
      <c r="P40" s="34"/>
      <c r="Q40" s="61" t="n">
        <f aca="false">AVERAGE(K36:M36)</f>
        <v>-1.04247682610311</v>
      </c>
      <c r="R40" s="61" t="n">
        <f aca="false">Q40-$Q$47</f>
        <v>-0.0803559510568067</v>
      </c>
      <c r="S40" s="35" t="n">
        <f aca="false">_xlfn.STDEV.P(K36:M36)</f>
        <v>0.0458405092698127</v>
      </c>
      <c r="T40" s="35"/>
      <c r="U40" s="35" t="n">
        <f aca="false">AVERAGE((K36/K23),(L36/L23),(M36/M23))</f>
        <v>-4.82217914273314</v>
      </c>
      <c r="V40" s="61" t="n">
        <f aca="false">-(U40-$U$47)</f>
        <v>0.340829256497124</v>
      </c>
      <c r="W40" s="35" t="n">
        <f aca="false">_xlfn.STDEV.P((K36/K23),(L36/L23),(M36/M23))</f>
        <v>0.208878614020183</v>
      </c>
      <c r="X40" s="35"/>
      <c r="Y40" s="36" t="n">
        <f aca="false">V40/($S$11*$S$12)*1000</f>
        <v>0.0769019080544052</v>
      </c>
      <c r="Z40" s="37" t="n">
        <f aca="false">W40/($S$11*$S$12)*1000</f>
        <v>0.0471296511778391</v>
      </c>
      <c r="AA40" s="38" t="str">
        <f aca="false">IF(AND(Y40&gt;(Z40*5),Y40&gt;($Y$47/2)),"Hit","")</f>
        <v/>
      </c>
      <c r="AB40" s="39" t="str">
        <f aca="false">IF(AND(Y40&gt;(Z40*3),Y40&gt;($Y$47/2)),"Hit","")</f>
        <v/>
      </c>
    </row>
    <row r="41" customFormat="false" ht="15" hidden="false" customHeight="true" outlineLevel="0" collapsed="false">
      <c r="A41" s="8" t="s">
        <v>52</v>
      </c>
      <c r="B41" s="84" t="n">
        <v>-53.3659621802005</v>
      </c>
      <c r="C41" s="85" t="n">
        <v>-41.6220244716352</v>
      </c>
      <c r="D41" s="85" t="n">
        <v>-42.9506562847606</v>
      </c>
      <c r="E41" s="85" t="n">
        <v>-4.42286985539493</v>
      </c>
      <c r="F41" s="85" t="n">
        <v>-5.12965517241388</v>
      </c>
      <c r="G41" s="85" t="n">
        <v>-4.86553948832032</v>
      </c>
      <c r="H41" s="85" t="n">
        <v>-0.436084538376058</v>
      </c>
      <c r="I41" s="85" t="n">
        <v>-0.4141490545051</v>
      </c>
      <c r="J41" s="85" t="n">
        <v>-0.418553948832002</v>
      </c>
      <c r="K41" s="85" t="n">
        <v>-0.729877641824134</v>
      </c>
      <c r="L41" s="85" t="n">
        <v>-0.754749721913063</v>
      </c>
      <c r="M41" s="87" t="n">
        <v>-0.772725250278068</v>
      </c>
      <c r="O41" s="92" t="str">
        <f aca="false">K13</f>
        <v>C042–A002</v>
      </c>
      <c r="P41" s="93"/>
      <c r="Q41" s="94" t="n">
        <f aca="false">AVERAGE(K37:M37)</f>
        <v>-1.41717463848721</v>
      </c>
      <c r="R41" s="94" t="n">
        <f aca="false">Q41-$Q$47</f>
        <v>-0.455053763440906</v>
      </c>
      <c r="S41" s="95" t="n">
        <f aca="false">_xlfn.STDEV.P(K37:M37)</f>
        <v>0.101854578808919</v>
      </c>
      <c r="T41" s="93"/>
      <c r="U41" s="95" t="n">
        <f aca="false">AVERAGE((K37/K24),(L37/L24),(M37/M24))</f>
        <v>-6.14603117294635</v>
      </c>
      <c r="V41" s="94" t="n">
        <f aca="false">-(U41-$U$47)</f>
        <v>1.66468128671033</v>
      </c>
      <c r="W41" s="95" t="n">
        <f aca="false">_xlfn.STDEV.P((K37/K24),(L37/L24),(M37/M24))</f>
        <v>0.310718597337739</v>
      </c>
      <c r="X41" s="93"/>
      <c r="Y41" s="96" t="n">
        <f aca="false">V41/($S$11*$S$12)*1000</f>
        <v>0.375604983463522</v>
      </c>
      <c r="Z41" s="97" t="n">
        <f aca="false">W41/($S$11*$S$12)*1000</f>
        <v>0.0701079867639303</v>
      </c>
      <c r="AA41" s="38" t="str">
        <f aca="false">IF(AND(Y41&gt;(Z41*5),Y41&gt;($Y$47/2)),"Hit","")</f>
        <v/>
      </c>
      <c r="AB41" s="39" t="str">
        <f aca="false">IF(AND(Y41&gt;(Z41*3),Y41&gt;($Y$47/2)),"Hit","")</f>
        <v/>
      </c>
    </row>
    <row r="42" customFormat="false" ht="15" hidden="false" customHeight="true" outlineLevel="0" collapsed="false">
      <c r="A42" s="8" t="s">
        <v>57</v>
      </c>
      <c r="B42" s="84" t="n">
        <v>-38.5949276974417</v>
      </c>
      <c r="C42" s="85" t="n">
        <v>-23.9229365962183</v>
      </c>
      <c r="D42" s="85" t="n">
        <v>-21.7136818687435</v>
      </c>
      <c r="E42" s="85" t="n">
        <v>-1.10500556173528</v>
      </c>
      <c r="F42" s="85" t="n">
        <v>-1.24115684093445</v>
      </c>
      <c r="G42" s="85" t="n">
        <v>-1.27408231368191</v>
      </c>
      <c r="H42" s="85" t="n">
        <v>-0.64880978865421</v>
      </c>
      <c r="I42" s="85" t="n">
        <v>-0.550923248053348</v>
      </c>
      <c r="J42" s="85" t="n">
        <v>-0.593726362625128</v>
      </c>
      <c r="K42" s="85" t="n">
        <v>-0.846273637374772</v>
      </c>
      <c r="L42" s="85" t="n">
        <v>-1.41454949944394</v>
      </c>
      <c r="M42" s="87" t="n">
        <v>-1.03563959955508</v>
      </c>
      <c r="O42" s="78" t="str">
        <f aca="false">K14</f>
        <v>C042–A006</v>
      </c>
      <c r="P42" s="72"/>
      <c r="Q42" s="61" t="n">
        <f aca="false">AVERAGE(K38:M38)</f>
        <v>-1.02731924360397</v>
      </c>
      <c r="R42" s="61" t="n">
        <f aca="false">Q42-$Q$47</f>
        <v>-0.065198368557667</v>
      </c>
      <c r="S42" s="35" t="n">
        <f aca="false">_xlfn.STDEV.P(K38:M38)</f>
        <v>0.0394588744809795</v>
      </c>
      <c r="T42" s="72"/>
      <c r="U42" s="35" t="n">
        <f aca="false">AVERAGE((K38/K25),(L38/L25),(M38/M25))</f>
        <v>-4.69711754002744</v>
      </c>
      <c r="V42" s="61" t="n">
        <f aca="false">-(U42-$U$47)</f>
        <v>0.215767653791423</v>
      </c>
      <c r="W42" s="35" t="n">
        <f aca="false">_xlfn.STDEV.P((K38/K25),(L38/L25),(M38/M25))</f>
        <v>0.0968345091209539</v>
      </c>
      <c r="X42" s="72"/>
      <c r="Y42" s="36" t="n">
        <f aca="false">V42/($S$11*$S$12)*1000</f>
        <v>0.0486840374078121</v>
      </c>
      <c r="Z42" s="37" t="n">
        <f aca="false">W42/($S$11*$S$12)*1000</f>
        <v>0.0218489415886629</v>
      </c>
      <c r="AA42" s="38" t="str">
        <f aca="false">IF(AND(Y42&gt;(Z42*5),Y42&gt;($Y$47/2)),"Hit","")</f>
        <v/>
      </c>
      <c r="AB42" s="39" t="str">
        <f aca="false">IF(AND(Y42&gt;(Z42*3),Y42&gt;($Y$47/2)),"Hit","")</f>
        <v/>
      </c>
    </row>
    <row r="43" customFormat="false" ht="15" hidden="false" customHeight="true" outlineLevel="0" collapsed="false">
      <c r="A43" s="8" t="s">
        <v>62</v>
      </c>
      <c r="B43" s="98" t="n">
        <v>-2.07630700778641</v>
      </c>
      <c r="C43" s="99" t="n">
        <v>-3.03519466073422</v>
      </c>
      <c r="D43" s="99" t="n">
        <v>-1.69779755283657</v>
      </c>
      <c r="E43" s="99" t="n">
        <v>-1.4574416017797</v>
      </c>
      <c r="F43" s="99" t="n">
        <v>-1.47719688542834</v>
      </c>
      <c r="G43" s="99" t="n">
        <v>-1.11248053392667</v>
      </c>
      <c r="H43" s="99" t="n">
        <v>-1.10028921023362</v>
      </c>
      <c r="I43" s="99" t="n">
        <v>-1.28996662958868</v>
      </c>
      <c r="J43" s="99" t="n">
        <v>-0.962847608453866</v>
      </c>
      <c r="K43" s="99" t="n">
        <v>-1.00160177975528</v>
      </c>
      <c r="L43" s="99" t="n">
        <v>-0.996084538375812</v>
      </c>
      <c r="M43" s="100" t="n">
        <v>-0.888676307007811</v>
      </c>
      <c r="O43" s="78" t="str">
        <f aca="false">K15</f>
        <v>C042–A011</v>
      </c>
      <c r="P43" s="34"/>
      <c r="Q43" s="61" t="n">
        <f aca="false">AVERAGE(K39:M39)</f>
        <v>-32.2024242424242</v>
      </c>
      <c r="R43" s="61" t="n">
        <f aca="false">Q43-$Q$47</f>
        <v>-31.2403033673779</v>
      </c>
      <c r="S43" s="35" t="n">
        <f aca="false">_xlfn.STDEV.P(K39:M39)</f>
        <v>0.792731597306936</v>
      </c>
      <c r="T43" s="101"/>
      <c r="U43" s="35" t="n">
        <f aca="false">AVERAGE((K39/K26),(L39/L26))</f>
        <v>-145.307952755275</v>
      </c>
      <c r="V43" s="61" t="n">
        <f aca="false">-(U43-$U$47)</f>
        <v>140.826602869039</v>
      </c>
      <c r="W43" s="35" t="n">
        <f aca="false">_xlfn.STDEV.P((K39/K26),(L39/L26))</f>
        <v>2.13058709870954</v>
      </c>
      <c r="X43" s="101"/>
      <c r="Y43" s="36" t="n">
        <f aca="false">V43/($S$11*$S$12)*1000</f>
        <v>31.7749555209926</v>
      </c>
      <c r="Z43" s="37" t="n">
        <f aca="false">W43/($S$11*$S$12)*1000</f>
        <v>0.48072813599042</v>
      </c>
      <c r="AA43" s="38" t="str">
        <f aca="false">IF(AND(Y43&gt;(Z43*5),Y43&gt;($Y$47/2)),"Hit","")</f>
        <v>Hit</v>
      </c>
      <c r="AB43" s="39" t="str">
        <f aca="false">IF(AND(Y43&gt;(Z43*3),Y43&gt;($Y$47/2)),"Hit","")</f>
        <v>Hit</v>
      </c>
    </row>
    <row r="44" customFormat="false" ht="15" hidden="false" customHeight="true" outlineLevel="0" collapsed="false">
      <c r="O44" s="78" t="str">
        <f aca="false">K16</f>
        <v>C042–A025</v>
      </c>
      <c r="P44" s="26"/>
      <c r="Q44" s="61" t="n">
        <f aca="false">AVERAGE(K40:M40)</f>
        <v>-1.19492769744153</v>
      </c>
      <c r="R44" s="61" t="n">
        <f aca="false">Q44-$Q$47</f>
        <v>-0.232806822395233</v>
      </c>
      <c r="S44" s="35" t="n">
        <f aca="false">_xlfn.STDEV.P(K40:M40)</f>
        <v>0.0308688151772976</v>
      </c>
      <c r="T44" s="30"/>
      <c r="U44" s="35" t="n">
        <f aca="false">AVERAGE((K40/K27),(L40/L27),(M40/M27))</f>
        <v>-5.43378910399301</v>
      </c>
      <c r="V44" s="61" t="n">
        <f aca="false">-(U44-$U$47)</f>
        <v>0.952439217756991</v>
      </c>
      <c r="W44" s="35" t="n">
        <f aca="false">_xlfn.STDEV.P((K40/K27),(L40/L27),(M40/M27))</f>
        <v>0.247309852843211</v>
      </c>
      <c r="X44" s="30"/>
      <c r="Y44" s="36" t="n">
        <f aca="false">V44/($S$11*$S$12)*1000</f>
        <v>0.214900545522787</v>
      </c>
      <c r="Z44" s="37" t="n">
        <f aca="false">W44/($S$11*$S$12)*1000</f>
        <v>0.0558009595765368</v>
      </c>
      <c r="AA44" s="38" t="str">
        <f aca="false">IF(AND(Y44&gt;(Z44*5),Y44&gt;($Y$47/2)),"Hit","")</f>
        <v/>
      </c>
      <c r="AB44" s="39" t="str">
        <f aca="false">IF(AND(Y44&gt;(Z44*3),Y44&gt;($Y$47/2)),"Hit","")</f>
        <v/>
      </c>
    </row>
    <row r="45" customFormat="false" ht="15" hidden="false" customHeight="true" outlineLevel="0" collapsed="false">
      <c r="B45" s="102"/>
      <c r="C45" s="103" t="s">
        <v>72</v>
      </c>
      <c r="O45" s="78" t="str">
        <f aca="false">K17</f>
        <v>C042–A030</v>
      </c>
      <c r="P45" s="34"/>
      <c r="Q45" s="61" t="n">
        <f aca="false">AVERAGE(K41:M41)</f>
        <v>-0.752450871338422</v>
      </c>
      <c r="R45" s="61" t="n">
        <f aca="false">Q45-$Q$47</f>
        <v>0.209670003707879</v>
      </c>
      <c r="S45" s="35" t="n">
        <f aca="false">_xlfn.STDEV.P(K41:M41)</f>
        <v>0.0175678289880263</v>
      </c>
      <c r="T45" s="35"/>
      <c r="U45" s="35" t="n">
        <f aca="false">AVERAGE((K41/K28),(L41/L28),(M41/M28))</f>
        <v>-3.51072507371089</v>
      </c>
      <c r="V45" s="61" t="n">
        <f aca="false">-(U45-$U$47)</f>
        <v>-0.970624812525133</v>
      </c>
      <c r="W45" s="35" t="n">
        <f aca="false">_xlfn.STDEV.P((K41/K28),(L41/L28),(M41/M28))</f>
        <v>0.191122069311715</v>
      </c>
      <c r="X45" s="35"/>
      <c r="Y45" s="36" t="n">
        <f aca="false">V45/($S$11*$S$12)*1000</f>
        <v>-0.219003793439786</v>
      </c>
      <c r="Z45" s="37" t="n">
        <f aca="false">W45/($S$11*$S$12)*1000</f>
        <v>0.0431232105847732</v>
      </c>
      <c r="AA45" s="38" t="str">
        <f aca="false">IF(AND(Y45&gt;(Z45*5),Y45&gt;($Y$47/2)),"Hit","")</f>
        <v/>
      </c>
      <c r="AB45" s="39" t="str">
        <f aca="false">IF(AND(Y45&gt;(Z45*3),Y45&gt;($Y$47/2)),"Hit","")</f>
        <v/>
      </c>
    </row>
    <row r="46" customFormat="false" ht="15" hidden="false" customHeight="true" outlineLevel="0" collapsed="false">
      <c r="B46" s="104"/>
      <c r="C46" s="105" t="s">
        <v>73</v>
      </c>
      <c r="K46" s="106"/>
      <c r="L46" s="0" t="s">
        <v>74</v>
      </c>
      <c r="O46" s="78" t="str">
        <f aca="false">K18</f>
        <v>C042–A036</v>
      </c>
      <c r="P46" s="34"/>
      <c r="Q46" s="61" t="n">
        <f aca="false">AVERAGE(K42:M42)</f>
        <v>-1.0988209121246</v>
      </c>
      <c r="R46" s="61" t="n">
        <f aca="false">Q46-$Q$47</f>
        <v>-0.136700037078296</v>
      </c>
      <c r="S46" s="35" t="n">
        <f aca="false">_xlfn.STDEV.P(K42:M42)</f>
        <v>0.236260128595748</v>
      </c>
      <c r="T46" s="35"/>
      <c r="U46" s="35" t="n">
        <f aca="false">AVERAGE((K42/K29),(L42/L29),(M42/M29))</f>
        <v>-5.08737388241639</v>
      </c>
      <c r="V46" s="61" t="n">
        <f aca="false">-(U46-$U$47)</f>
        <v>0.606023996180369</v>
      </c>
      <c r="W46" s="35" t="n">
        <f aca="false">_xlfn.STDEV.P((K42/K29),(L42/L29),(M42/M29))</f>
        <v>1.07823741342852</v>
      </c>
      <c r="X46" s="35"/>
      <c r="Y46" s="36" t="n">
        <f aca="false">V46/($S$11*$S$12)*1000</f>
        <v>0.136738266286184</v>
      </c>
      <c r="Z46" s="37" t="n">
        <f aca="false">W46/($S$11*$S$12)*1000</f>
        <v>0.243284614943258</v>
      </c>
      <c r="AA46" s="38" t="str">
        <f aca="false">IF(AND(Y46&gt;(Z46*5),Y46&gt;($Y$47/2)),"Hit","")</f>
        <v/>
      </c>
      <c r="AB46" s="39" t="str">
        <f aca="false">IF(AND(Y46&gt;(Z46*3),Y46&gt;($Y$47/2)),"Hit","")</f>
        <v/>
      </c>
    </row>
    <row r="47" customFormat="false" ht="15" hidden="false" customHeight="false" outlineLevel="0" collapsed="false">
      <c r="O47" s="107" t="str">
        <f aca="false">K19</f>
        <v>C042 w/o amine</v>
      </c>
      <c r="P47" s="108"/>
      <c r="Q47" s="109" t="n">
        <f aca="false">AVERAGE(K43:M43)</f>
        <v>-0.962120875046301</v>
      </c>
      <c r="R47" s="110"/>
      <c r="S47" s="110" t="n">
        <f aca="false">_xlfn.STDEV.P(K43:M43)</f>
        <v>0.0519819739196844</v>
      </c>
      <c r="T47" s="110"/>
      <c r="U47" s="110" t="n">
        <f aca="false">AVERAGE((K43/K30),(M43/M30))</f>
        <v>-4.48134988623602</v>
      </c>
      <c r="V47" s="110" t="n">
        <f aca="false">-U47</f>
        <v>4.48134988623602</v>
      </c>
      <c r="W47" s="110" t="n">
        <f aca="false">_xlfn.STDEV.P((K43/K30),(M43/M30))</f>
        <v>0.157102493803091</v>
      </c>
      <c r="X47" s="110"/>
      <c r="Y47" s="110" t="n">
        <f aca="false">V47/($S$11*$S$12)*1000</f>
        <v>1.01113490212907</v>
      </c>
      <c r="Z47" s="111" t="n">
        <f aca="false">W47/($S$11*$S$12)*1000</f>
        <v>0.0354473135837299</v>
      </c>
      <c r="AA47" s="38"/>
    </row>
    <row r="48" customFormat="false" ht="15" hidden="false" customHeight="false" outlineLevel="0" collapsed="false">
      <c r="B48" s="39" t="s">
        <v>75</v>
      </c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112"/>
      <c r="Z48" s="112"/>
    </row>
    <row r="49" customFormat="false" ht="15" hidden="false" customHeight="false" outlineLevel="0" collapsed="false"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112"/>
      <c r="Z49" s="112"/>
    </row>
    <row r="50" customFormat="false" ht="15" hidden="false" customHeight="false" outlineLevel="0" collapsed="false"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112"/>
      <c r="Z50" s="112"/>
    </row>
    <row r="51" customFormat="false" ht="15" hidden="false" customHeight="false" outlineLevel="0" collapsed="false"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112"/>
      <c r="Z51" s="112"/>
    </row>
    <row r="52" customFormat="false" ht="15" hidden="false" customHeight="false" outlineLevel="0" collapsed="false">
      <c r="O52" s="113"/>
      <c r="P52" s="34"/>
      <c r="Q52" s="35"/>
      <c r="R52" s="35"/>
      <c r="S52" s="35"/>
      <c r="T52" s="35"/>
      <c r="U52" s="35"/>
      <c r="V52" s="35"/>
      <c r="W52" s="35"/>
      <c r="X52" s="35"/>
      <c r="Y52" s="114"/>
      <c r="Z52" s="114"/>
    </row>
  </sheetData>
  <mergeCells count="42">
    <mergeCell ref="E3:F3"/>
    <mergeCell ref="E7:F7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7:D17"/>
    <mergeCell ref="E17:G17"/>
    <mergeCell ref="H17:J17"/>
    <mergeCell ref="K17:M17"/>
    <mergeCell ref="B18:D18"/>
    <mergeCell ref="E18:G18"/>
    <mergeCell ref="H18:J18"/>
    <mergeCell ref="K18:M18"/>
    <mergeCell ref="B19:D19"/>
    <mergeCell ref="E19:G19"/>
    <mergeCell ref="H19:J19"/>
    <mergeCell ref="K19:M19"/>
  </mergeCells>
  <conditionalFormatting sqref="E3 E7:E8">
    <cfRule type="expression" priority="2" aboveAverage="0" equalAverage="0" bottom="0" percent="0" rank="0" text="" dxfId="0">
      <formula>LEN(TRIM(E3))=0</formula>
    </cfRule>
  </conditionalFormatting>
  <conditionalFormatting sqref="E4">
    <cfRule type="expression" priority="3" aboveAverage="0" equalAverage="0" bottom="0" percent="0" rank="0" text="" dxfId="1">
      <formula>LEN(TRIM(E4))=0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4" activeCellId="0" sqref="U34"/>
    </sheetView>
  </sheetViews>
  <sheetFormatPr defaultColWidth="9.12109375" defaultRowHeight="15" zeroHeight="false" outlineLevelRow="0" outlineLevelCol="0"/>
  <cols>
    <col collapsed="false" customWidth="true" hidden="false" outlineLevel="0" max="13" min="1" style="0" width="5.71"/>
    <col collapsed="false" customWidth="true" hidden="false" outlineLevel="0" max="15" min="15" style="0" width="15.71"/>
    <col collapsed="false" customWidth="true" hidden="false" outlineLevel="0" max="16" min="16" style="0" width="1.43"/>
    <col collapsed="false" customWidth="true" hidden="false" outlineLevel="0" max="20" min="20" style="0" width="1.43"/>
    <col collapsed="false" customWidth="true" hidden="false" outlineLevel="0" max="24" min="24" style="0" width="1.43"/>
    <col collapsed="false" customWidth="true" hidden="false" outlineLevel="0" max="28" min="27" style="0" width="5.71"/>
  </cols>
  <sheetData>
    <row r="1" customFormat="false" ht="18.7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E3" s="3" t="s">
        <v>2</v>
      </c>
      <c r="F3" s="3"/>
    </row>
    <row r="4" customFormat="false" ht="15" hidden="false" customHeight="false" outlineLevel="0" collapsed="false">
      <c r="A4" s="2" t="s">
        <v>3</v>
      </c>
      <c r="E4" s="4" t="s">
        <v>76</v>
      </c>
    </row>
    <row r="5" customFormat="false" ht="15" hidden="false" customHeight="false" outlineLevel="0" collapsed="false">
      <c r="A5" s="2" t="s">
        <v>5</v>
      </c>
      <c r="E5" s="0" t="s">
        <v>77</v>
      </c>
    </row>
    <row r="6" customFormat="false" ht="15" hidden="false" customHeight="false" outlineLevel="0" collapsed="false">
      <c r="A6" s="2" t="s">
        <v>7</v>
      </c>
      <c r="E6" s="4" t="s">
        <v>78</v>
      </c>
    </row>
    <row r="7" customFormat="false" ht="15" hidden="false" customHeight="false" outlineLevel="0" collapsed="false">
      <c r="A7" s="2" t="s">
        <v>9</v>
      </c>
      <c r="E7" s="0" t="s">
        <v>79</v>
      </c>
    </row>
    <row r="8" customFormat="false" ht="15" hidden="false" customHeight="false" outlineLevel="0" collapsed="false">
      <c r="A8" s="2" t="s">
        <v>11</v>
      </c>
      <c r="E8" s="115" t="n">
        <v>44635</v>
      </c>
      <c r="F8" s="115"/>
    </row>
    <row r="10" customFormat="false" ht="15" hidden="false" customHeight="false" outlineLevel="0" collapsed="false">
      <c r="A10" s="2" t="s">
        <v>13</v>
      </c>
      <c r="O10" s="2" t="s">
        <v>14</v>
      </c>
      <c r="P10" s="7"/>
    </row>
    <row r="11" customFormat="false" ht="15" hidden="false" customHeight="true" outlineLevel="0" collapsed="false">
      <c r="B11" s="8" t="n">
        <v>1</v>
      </c>
      <c r="C11" s="8" t="n">
        <v>2</v>
      </c>
      <c r="D11" s="8" t="n">
        <v>3</v>
      </c>
      <c r="E11" s="8" t="n">
        <v>4</v>
      </c>
      <c r="F11" s="8" t="n">
        <v>5</v>
      </c>
      <c r="G11" s="8" t="n">
        <v>6</v>
      </c>
      <c r="H11" s="8" t="n">
        <v>7</v>
      </c>
      <c r="I11" s="8" t="n">
        <v>8</v>
      </c>
      <c r="J11" s="8" t="n">
        <v>9</v>
      </c>
      <c r="K11" s="8" t="n">
        <v>10</v>
      </c>
      <c r="L11" s="8" t="n">
        <v>11</v>
      </c>
      <c r="M11" s="8" t="n">
        <v>12</v>
      </c>
      <c r="O11" s="9" t="s">
        <v>15</v>
      </c>
      <c r="P11" s="9"/>
      <c r="Q11" s="9"/>
      <c r="R11" s="9"/>
      <c r="S11" s="0" t="n">
        <v>2216</v>
      </c>
    </row>
    <row r="12" customFormat="false" ht="15" hidden="false" customHeight="true" outlineLevel="0" collapsed="false">
      <c r="A12" s="8" t="s">
        <v>16</v>
      </c>
      <c r="B12" s="10" t="s">
        <v>80</v>
      </c>
      <c r="C12" s="10"/>
      <c r="D12" s="10"/>
      <c r="E12" s="11" t="s">
        <v>81</v>
      </c>
      <c r="F12" s="11"/>
      <c r="G12" s="11"/>
      <c r="H12" s="11" t="s">
        <v>82</v>
      </c>
      <c r="I12" s="11"/>
      <c r="J12" s="11"/>
      <c r="K12" s="12" t="s">
        <v>83</v>
      </c>
      <c r="L12" s="12"/>
      <c r="M12" s="12"/>
      <c r="O12" s="13" t="s">
        <v>21</v>
      </c>
      <c r="P12" s="13"/>
      <c r="Q12" s="13"/>
      <c r="R12" s="13"/>
      <c r="S12" s="14" t="n">
        <v>1</v>
      </c>
    </row>
    <row r="13" customFormat="false" ht="15" hidden="false" customHeight="true" outlineLevel="0" collapsed="false">
      <c r="A13" s="8" t="s">
        <v>22</v>
      </c>
      <c r="B13" s="15" t="s">
        <v>84</v>
      </c>
      <c r="C13" s="15"/>
      <c r="D13" s="15"/>
      <c r="E13" s="16" t="s">
        <v>85</v>
      </c>
      <c r="F13" s="16"/>
      <c r="G13" s="16"/>
      <c r="H13" s="16" t="s">
        <v>86</v>
      </c>
      <c r="I13" s="16"/>
      <c r="J13" s="16"/>
      <c r="K13" s="17" t="s">
        <v>87</v>
      </c>
      <c r="L13" s="17"/>
      <c r="M13" s="17"/>
      <c r="O13" s="18"/>
      <c r="P13" s="18"/>
      <c r="Q13" s="18"/>
      <c r="R13" s="18"/>
      <c r="S13" s="19"/>
    </row>
    <row r="14" customFormat="false" ht="15" hidden="false" customHeight="true" outlineLevel="0" collapsed="false">
      <c r="A14" s="8" t="s">
        <v>27</v>
      </c>
      <c r="B14" s="15" t="s">
        <v>88</v>
      </c>
      <c r="C14" s="15"/>
      <c r="D14" s="15"/>
      <c r="E14" s="16" t="s">
        <v>89</v>
      </c>
      <c r="F14" s="16"/>
      <c r="G14" s="16"/>
      <c r="H14" s="16" t="s">
        <v>90</v>
      </c>
      <c r="I14" s="16"/>
      <c r="J14" s="16"/>
      <c r="K14" s="17" t="s">
        <v>91</v>
      </c>
      <c r="L14" s="17"/>
      <c r="M14" s="17"/>
      <c r="O14" s="20" t="s">
        <v>32</v>
      </c>
      <c r="P14" s="21"/>
      <c r="Q14" s="22" t="s">
        <v>33</v>
      </c>
      <c r="R14" s="22"/>
      <c r="S14" s="22"/>
      <c r="T14" s="23"/>
      <c r="U14" s="22" t="s">
        <v>34</v>
      </c>
      <c r="V14" s="22"/>
      <c r="W14" s="22"/>
      <c r="X14" s="23"/>
      <c r="Y14" s="24" t="s">
        <v>35</v>
      </c>
      <c r="Z14" s="24"/>
      <c r="AA14" s="25" t="s">
        <v>36</v>
      </c>
      <c r="AB14" s="25"/>
    </row>
    <row r="15" customFormat="false" ht="15" hidden="false" customHeight="true" outlineLevel="0" collapsed="false">
      <c r="A15" s="8" t="s">
        <v>37</v>
      </c>
      <c r="B15" s="15" t="s">
        <v>92</v>
      </c>
      <c r="C15" s="15"/>
      <c r="D15" s="15"/>
      <c r="E15" s="16" t="s">
        <v>93</v>
      </c>
      <c r="F15" s="16"/>
      <c r="G15" s="16"/>
      <c r="H15" s="16" t="s">
        <v>94</v>
      </c>
      <c r="I15" s="16"/>
      <c r="J15" s="16"/>
      <c r="K15" s="17" t="s">
        <v>95</v>
      </c>
      <c r="L15" s="17"/>
      <c r="M15" s="17"/>
      <c r="O15" s="20"/>
      <c r="P15" s="26"/>
      <c r="Q15" s="27" t="s">
        <v>42</v>
      </c>
      <c r="R15" s="28" t="s">
        <v>43</v>
      </c>
      <c r="S15" s="29" t="s">
        <v>44</v>
      </c>
      <c r="T15" s="30"/>
      <c r="U15" s="27" t="s">
        <v>42</v>
      </c>
      <c r="V15" s="28" t="s">
        <v>43</v>
      </c>
      <c r="W15" s="29" t="s">
        <v>44</v>
      </c>
      <c r="X15" s="30"/>
      <c r="Y15" s="27" t="s">
        <v>42</v>
      </c>
      <c r="Z15" s="31" t="s">
        <v>44</v>
      </c>
      <c r="AA15" s="32" t="s">
        <v>45</v>
      </c>
      <c r="AB15" s="32" t="s">
        <v>46</v>
      </c>
    </row>
    <row r="16" customFormat="false" ht="15" hidden="false" customHeight="true" outlineLevel="0" collapsed="false">
      <c r="A16" s="8" t="s">
        <v>47</v>
      </c>
      <c r="B16" s="15" t="s">
        <v>96</v>
      </c>
      <c r="C16" s="15"/>
      <c r="D16" s="15"/>
      <c r="E16" s="16" t="s">
        <v>97</v>
      </c>
      <c r="F16" s="16"/>
      <c r="G16" s="16"/>
      <c r="H16" s="16" t="s">
        <v>98</v>
      </c>
      <c r="I16" s="16"/>
      <c r="J16" s="16"/>
      <c r="K16" s="17" t="s">
        <v>99</v>
      </c>
      <c r="L16" s="17"/>
      <c r="M16" s="17"/>
      <c r="O16" s="33" t="str">
        <f aca="false">B12</f>
        <v>C093–A001</v>
      </c>
      <c r="P16" s="34"/>
      <c r="Q16" s="35" t="n">
        <f aca="false">AVERAGE(B36:D36)</f>
        <v>-0.727113086663655</v>
      </c>
      <c r="R16" s="35" t="n">
        <f aca="false">Q16-$Q$23</f>
        <v>0.521765375697971</v>
      </c>
      <c r="S16" s="35" t="n">
        <f aca="false">_xlfn.STDEV.P(B36:D36)</f>
        <v>0.183798168324004</v>
      </c>
      <c r="T16" s="35"/>
      <c r="U16" s="35" t="n">
        <f aca="false">AVERAGE((B36/B23),(C36/C23),(D36/D23))</f>
        <v>-3.02963786109856</v>
      </c>
      <c r="V16" s="35" t="n">
        <f aca="false">-(U16-$U$23)</f>
        <v>-2.17402239874154</v>
      </c>
      <c r="W16" s="35" t="n">
        <f aca="false">_xlfn.STDEV.P((B36/B23),(C36/C23),(D36/D23))</f>
        <v>0.765825701350017</v>
      </c>
      <c r="X16" s="35"/>
      <c r="Y16" s="36" t="n">
        <f aca="false">V16/($S$11*$S$12)*1000</f>
        <v>-0.981057039143296</v>
      </c>
      <c r="Z16" s="37" t="n">
        <f aca="false">W16/($S$11*$S$12)*1000</f>
        <v>0.345589215410658</v>
      </c>
      <c r="AA16" s="38" t="str">
        <f aca="false">IF(AND(Y16&gt;(Z16*5),Y16&gt;($Y$23/2)),"Hit","")</f>
        <v/>
      </c>
      <c r="AB16" s="39" t="str">
        <f aca="false">IF(AND(Y16&gt;(Z16*3),Y16&gt;($Y$23/2)),"Hit","")</f>
        <v/>
      </c>
    </row>
    <row r="17" customFormat="false" ht="15" hidden="false" customHeight="true" outlineLevel="0" collapsed="false">
      <c r="A17" s="8" t="s">
        <v>52</v>
      </c>
      <c r="B17" s="15" t="s">
        <v>100</v>
      </c>
      <c r="C17" s="15"/>
      <c r="D17" s="15"/>
      <c r="E17" s="16" t="s">
        <v>101</v>
      </c>
      <c r="F17" s="16"/>
      <c r="G17" s="16"/>
      <c r="H17" s="16" t="s">
        <v>102</v>
      </c>
      <c r="I17" s="16"/>
      <c r="J17" s="16"/>
      <c r="K17" s="17" t="s">
        <v>103</v>
      </c>
      <c r="L17" s="17"/>
      <c r="M17" s="17"/>
      <c r="O17" s="33" t="str">
        <f aca="false">B13</f>
        <v>C093–A002</v>
      </c>
      <c r="P17" s="34"/>
      <c r="Q17" s="35" t="n">
        <f aca="false">AVERAGE(B37:D37)</f>
        <v>-2.7957525620447</v>
      </c>
      <c r="R17" s="35" t="n">
        <f aca="false">Q17-$Q$23</f>
        <v>-1.54687409968307</v>
      </c>
      <c r="S17" s="35" t="n">
        <f aca="false">_xlfn.STDEV.P(B37:D37)</f>
        <v>0</v>
      </c>
      <c r="T17" s="35"/>
      <c r="U17" s="35" t="n">
        <f aca="false">AVERAGE((B37/B24))</f>
        <v>-11.6489690085196</v>
      </c>
      <c r="V17" s="35" t="n">
        <f aca="false">-(U17-$U$23)</f>
        <v>6.44530874867948</v>
      </c>
      <c r="W17" s="35" t="n">
        <f aca="false">_xlfn.STDEV.P((B37/B24))</f>
        <v>0</v>
      </c>
      <c r="X17" s="35"/>
      <c r="Y17" s="36" t="n">
        <f aca="false">V17/($S$11*$S$12)*1000</f>
        <v>2.90853282882648</v>
      </c>
      <c r="Z17" s="37" t="n">
        <f aca="false">W17/($S$11*$S$12)*1000</f>
        <v>0</v>
      </c>
      <c r="AA17" s="38" t="str">
        <f aca="false">IF(AND(Y17&gt;(Z17*5),Y17&gt;($Y$23/2)),"Hit","")</f>
        <v>Hit</v>
      </c>
      <c r="AB17" s="39" t="str">
        <f aca="false">IF(AND(Y17&gt;(Z17*3),Y17&gt;($Y$23/2)),"Hit","")</f>
        <v>Hit</v>
      </c>
    </row>
    <row r="18" customFormat="false" ht="15" hidden="false" customHeight="true" outlineLevel="0" collapsed="false">
      <c r="A18" s="8" t="s">
        <v>57</v>
      </c>
      <c r="B18" s="15" t="s">
        <v>104</v>
      </c>
      <c r="C18" s="15"/>
      <c r="D18" s="15"/>
      <c r="E18" s="16" t="s">
        <v>105</v>
      </c>
      <c r="F18" s="16"/>
      <c r="G18" s="16"/>
      <c r="H18" s="16" t="s">
        <v>106</v>
      </c>
      <c r="I18" s="16"/>
      <c r="J18" s="16"/>
      <c r="K18" s="17" t="s">
        <v>107</v>
      </c>
      <c r="L18" s="17"/>
      <c r="M18" s="17"/>
      <c r="O18" s="33" t="str">
        <f aca="false">B14</f>
        <v>C093–A006</v>
      </c>
      <c r="P18" s="34"/>
      <c r="Q18" s="35" t="n">
        <f aca="false">AVERAGE(B38:D38)</f>
        <v>-1.07464021621325</v>
      </c>
      <c r="R18" s="35" t="n">
        <f aca="false">Q18-$Q$23</f>
        <v>0.174238246148372</v>
      </c>
      <c r="S18" s="35" t="n">
        <f aca="false">_xlfn.STDEV.P(B38:D38)</f>
        <v>0.542901878106628</v>
      </c>
      <c r="T18" s="35"/>
      <c r="U18" s="35" t="n">
        <f aca="false">AVERAGE((B38/B25),(C38/C25),(D38/D25))</f>
        <v>-4.47766756755522</v>
      </c>
      <c r="V18" s="35" t="n">
        <f aca="false">-(U18-$U$23)</f>
        <v>-0.725992692284883</v>
      </c>
      <c r="W18" s="35" t="n">
        <f aca="false">_xlfn.STDEV.P((B38/B25),(C38/C25),(D38/D25))</f>
        <v>2.26209115877762</v>
      </c>
      <c r="X18" s="35"/>
      <c r="Y18" s="36" t="n">
        <f aca="false">V18/($S$11*$S$12)*1000</f>
        <v>-0.327614030814478</v>
      </c>
      <c r="Z18" s="37" t="n">
        <f aca="false">W18/($S$11*$S$12)*1000</f>
        <v>1.02079925937618</v>
      </c>
      <c r="AA18" s="38" t="str">
        <f aca="false">IF(AND(Y18&gt;(Z18*5),Y18&gt;($Y$23/2)),"Hit","")</f>
        <v/>
      </c>
      <c r="AB18" s="39" t="str">
        <f aca="false">IF(AND(Y18&gt;(Z18*3),Y18&gt;($Y$23/2)),"Hit","")</f>
        <v/>
      </c>
    </row>
    <row r="19" customFormat="false" ht="15" hidden="false" customHeight="true" outlineLevel="0" collapsed="false">
      <c r="A19" s="8" t="s">
        <v>62</v>
      </c>
      <c r="B19" s="40" t="s">
        <v>108</v>
      </c>
      <c r="C19" s="40"/>
      <c r="D19" s="40"/>
      <c r="E19" s="41" t="s">
        <v>109</v>
      </c>
      <c r="F19" s="41"/>
      <c r="G19" s="41"/>
      <c r="H19" s="41" t="s">
        <v>110</v>
      </c>
      <c r="I19" s="41"/>
      <c r="J19" s="41"/>
      <c r="K19" s="42" t="s">
        <v>111</v>
      </c>
      <c r="L19" s="42"/>
      <c r="M19" s="42"/>
      <c r="O19" s="33" t="str">
        <f aca="false">B15</f>
        <v>C093–A011</v>
      </c>
      <c r="P19" s="34"/>
      <c r="Q19" s="35" t="n">
        <f aca="false">AVERAGE(B39:D39)</f>
        <v>-4.15325348808495</v>
      </c>
      <c r="R19" s="35" t="n">
        <f aca="false">Q19-$Q$23</f>
        <v>-2.90437502572332</v>
      </c>
      <c r="S19" s="35" t="n">
        <f aca="false">_xlfn.STDEV.P(B39:D39)</f>
        <v>0.46709304309314</v>
      </c>
      <c r="T19" s="35"/>
      <c r="U19" s="35" t="n">
        <f aca="false">AVERAGE((B39/B26),(C39/C26),(D39/D26))</f>
        <v>-17.3052228670206</v>
      </c>
      <c r="V19" s="35" t="n">
        <f aca="false">-(U19-$U$23)</f>
        <v>12.1015626071805</v>
      </c>
      <c r="W19" s="35" t="n">
        <f aca="false">_xlfn.STDEV.P((B39/B26),(C39/C26),(D39/D26))</f>
        <v>1.94622101288808</v>
      </c>
      <c r="X19" s="35"/>
      <c r="Y19" s="36" t="n">
        <f aca="false">V19/($S$11*$S$12)*1000</f>
        <v>5.4609939563089</v>
      </c>
      <c r="Z19" s="37" t="n">
        <f aca="false">W19/($S$11*$S$12)*1000</f>
        <v>0.878258579823142</v>
      </c>
      <c r="AA19" s="38" t="str">
        <f aca="false">IF(AND(Y19&gt;(Z19*5),Y19&gt;($Y$23/2)),"Hit","")</f>
        <v>Hit</v>
      </c>
      <c r="AB19" s="39" t="str">
        <f aca="false">IF(AND(Y19&gt;(Z19*3),Y19&gt;($Y$23/2)),"Hit","")</f>
        <v>Hit</v>
      </c>
    </row>
    <row r="20" customFormat="false" ht="15" hidden="false" customHeight="true" outlineLevel="0" collapsed="false">
      <c r="O20" s="33" t="str">
        <f aca="false">B16</f>
        <v>C093–A025</v>
      </c>
      <c r="P20" s="34"/>
      <c r="Q20" s="35" t="n">
        <f aca="false">AVERAGE(B40:D40)</f>
        <v>-0.448639749763353</v>
      </c>
      <c r="R20" s="35" t="n">
        <f aca="false">Q20-$Q$23</f>
        <v>0.800238712598273</v>
      </c>
      <c r="S20" s="35" t="n">
        <f aca="false">_xlfn.STDEV.P(B40:D40)</f>
        <v>0.086438654977994</v>
      </c>
      <c r="T20" s="35"/>
      <c r="U20" s="35" t="n">
        <f aca="false">AVERAGE((B40/B27),(D40/D27))</f>
        <v>-1.86933229068064</v>
      </c>
      <c r="V20" s="35" t="n">
        <f aca="false">-(U20-$U$23)</f>
        <v>-3.33432796915947</v>
      </c>
      <c r="W20" s="35" t="n">
        <f aca="false">_xlfn.STDEV.P((B40/B27),(D40/D27))</f>
        <v>0.360161062408308</v>
      </c>
      <c r="X20" s="35"/>
      <c r="Y20" s="36" t="n">
        <f aca="false">V20/($S$11*$S$12)*1000</f>
        <v>-1.50466063590229</v>
      </c>
      <c r="Z20" s="37" t="n">
        <f aca="false">W20/($S$11*$S$12)*1000</f>
        <v>0.162527555238406</v>
      </c>
      <c r="AA20" s="38" t="str">
        <f aca="false">IF(AND(Y20&gt;(Z20*5),Y20&gt;($Y$23/2)),"Hit","")</f>
        <v/>
      </c>
      <c r="AB20" s="39" t="str">
        <f aca="false">IF(AND(Y20&gt;(Z20*3),Y20&gt;($Y$23/2)),"Hit","")</f>
        <v/>
      </c>
    </row>
    <row r="21" customFormat="false" ht="15" hidden="false" customHeight="true" outlineLevel="0" collapsed="false">
      <c r="A21" s="2" t="s">
        <v>67</v>
      </c>
      <c r="E21" s="48" t="s">
        <v>68</v>
      </c>
      <c r="O21" s="33" t="str">
        <f aca="false">B17</f>
        <v>C093–A030</v>
      </c>
      <c r="P21" s="34"/>
      <c r="Q21" s="35" t="n">
        <f aca="false">AVERAGE(B41:D41)</f>
        <v>-0.314826247410513</v>
      </c>
      <c r="R21" s="35" t="n">
        <f aca="false">Q21-$Q$23</f>
        <v>0.934052214951113</v>
      </c>
      <c r="S21" s="35" t="n">
        <f aca="false">_xlfn.STDEV.P(B41:D41)</f>
        <v>0.204558049814712</v>
      </c>
      <c r="T21" s="35"/>
      <c r="U21" s="35" t="n">
        <f aca="false">AVERAGE((B41/B28),(C41/C28),(D41/D28))</f>
        <v>-1.31177603087714</v>
      </c>
      <c r="V21" s="35" t="n">
        <f aca="false">-(U21-$U$23)</f>
        <v>-3.89188422896297</v>
      </c>
      <c r="W21" s="35" t="n">
        <f aca="false">_xlfn.STDEV.P((B41/B28),(C41/C28),(D41/D28))</f>
        <v>0.8523252075613</v>
      </c>
      <c r="X21" s="35"/>
      <c r="Y21" s="36" t="n">
        <f aca="false">V21/($S$11*$S$12)*1000</f>
        <v>-1.75626544628293</v>
      </c>
      <c r="Z21" s="37" t="n">
        <f aca="false">W21/($S$11*$S$12)*1000</f>
        <v>0.384623288610695</v>
      </c>
      <c r="AA21" s="38" t="str">
        <f aca="false">IF(AND(Y21&gt;(Z21*5),Y21&gt;($Y$23/2)),"Hit","")</f>
        <v/>
      </c>
      <c r="AB21" s="39" t="str">
        <f aca="false">IF(AND(Y21&gt;(Z21*3),Y21&gt;($Y$23/2)),"Hit","")</f>
        <v/>
      </c>
    </row>
    <row r="22" customFormat="false" ht="15" hidden="false" customHeight="true" outlineLevel="0" collapsed="false">
      <c r="B22" s="8" t="n">
        <v>1</v>
      </c>
      <c r="C22" s="8" t="n">
        <v>2</v>
      </c>
      <c r="D22" s="8" t="n">
        <v>3</v>
      </c>
      <c r="E22" s="8" t="n">
        <v>4</v>
      </c>
      <c r="F22" s="8" t="n">
        <v>5</v>
      </c>
      <c r="G22" s="8" t="n">
        <v>6</v>
      </c>
      <c r="H22" s="8" t="n">
        <v>7</v>
      </c>
      <c r="I22" s="8" t="n">
        <v>8</v>
      </c>
      <c r="J22" s="8" t="n">
        <v>9</v>
      </c>
      <c r="K22" s="8" t="n">
        <v>10</v>
      </c>
      <c r="L22" s="8" t="n">
        <v>11</v>
      </c>
      <c r="M22" s="8" t="n">
        <v>12</v>
      </c>
      <c r="O22" s="33" t="str">
        <f aca="false">B18</f>
        <v>C093–A036</v>
      </c>
      <c r="P22" s="34"/>
      <c r="Q22" s="35" t="n">
        <f aca="false">AVERAGE(B42:D42)</f>
        <v>-0.626941597728122</v>
      </c>
      <c r="R22" s="35" t="n">
        <f aca="false">Q22-$Q$23</f>
        <v>0.621936864633503</v>
      </c>
      <c r="S22" s="35" t="n">
        <f aca="false">_xlfn.STDEV.P(B42:D42)</f>
        <v>0.411956237567538</v>
      </c>
      <c r="T22" s="35"/>
      <c r="U22" s="35" t="n">
        <f aca="false">AVERAGE((B42/B29),(C42/C29),(D42/D29))</f>
        <v>-2.61225665720051</v>
      </c>
      <c r="V22" s="35" t="n">
        <f aca="false">-(U22-$U$23)</f>
        <v>-2.5914036026396</v>
      </c>
      <c r="W22" s="35" t="n">
        <f aca="false">_xlfn.STDEV.P((B42/B29),(C42/C29),(D42/D29))</f>
        <v>1.71648432319808</v>
      </c>
      <c r="X22" s="35"/>
      <c r="Y22" s="36" t="n">
        <f aca="false">V22/($S$11*$S$12)*1000</f>
        <v>-1.16940595786985</v>
      </c>
      <c r="Z22" s="37" t="n">
        <f aca="false">W22/($S$11*$S$12)*1000</f>
        <v>0.774586788446785</v>
      </c>
      <c r="AA22" s="38" t="str">
        <f aca="false">IF(AND(Y22&gt;(Z22*5),Y22&gt;($Y$23/2)),"Hit","")</f>
        <v/>
      </c>
      <c r="AB22" s="39" t="str">
        <f aca="false">IF(AND(Y22&gt;(Z22*3),Y22&gt;($Y$23/2)),"Hit","")</f>
        <v/>
      </c>
    </row>
    <row r="23" customFormat="false" ht="15" hidden="false" customHeight="true" outlineLevel="0" collapsed="false">
      <c r="A23" s="8" t="s">
        <v>16</v>
      </c>
      <c r="B23" s="116" t="n">
        <v>0.24</v>
      </c>
      <c r="C23" s="117" t="n">
        <v>0.24</v>
      </c>
      <c r="D23" s="117" t="n">
        <v>0.24</v>
      </c>
      <c r="E23" s="117" t="n">
        <v>0.24</v>
      </c>
      <c r="F23" s="117" t="n">
        <v>0.24</v>
      </c>
      <c r="G23" s="117" t="n">
        <v>0.24</v>
      </c>
      <c r="H23" s="117" t="n">
        <v>0.24</v>
      </c>
      <c r="I23" s="117" t="n">
        <v>0.24</v>
      </c>
      <c r="J23" s="117" t="n">
        <v>0.24</v>
      </c>
      <c r="K23" s="117" t="n">
        <v>0.24</v>
      </c>
      <c r="L23" s="117" t="n">
        <v>0.24</v>
      </c>
      <c r="M23" s="118" t="n">
        <v>0.24</v>
      </c>
      <c r="O23" s="52" t="str">
        <f aca="false">B19</f>
        <v>C093 w/o amine</v>
      </c>
      <c r="P23" s="53"/>
      <c r="Q23" s="54" t="n">
        <f aca="false">AVERAGE(B43:D43)</f>
        <v>-1.24887846236163</v>
      </c>
      <c r="R23" s="54"/>
      <c r="S23" s="54" t="n">
        <f aca="false">_xlfn.STDEV.P(B43:D43)</f>
        <v>0.353640367123514</v>
      </c>
      <c r="T23" s="54"/>
      <c r="U23" s="54" t="n">
        <f aca="false">AVERAGE((B43/B30),(C43/C30))</f>
        <v>-5.20366025984011</v>
      </c>
      <c r="V23" s="54" t="n">
        <f aca="false">-U23</f>
        <v>5.20366025984011</v>
      </c>
      <c r="W23" s="54" t="n">
        <f aca="false">_xlfn.STDEV.P((B43/B30),(C43/C30))</f>
        <v>1.47350152968131</v>
      </c>
      <c r="X23" s="54"/>
      <c r="Y23" s="54" t="n">
        <f aca="false">V23/($S$11*$S$12)*1000</f>
        <v>2.34822213891702</v>
      </c>
      <c r="Z23" s="55" t="n">
        <f aca="false">W23/($S$11*$S$12)*1000</f>
        <v>0.664937513394094</v>
      </c>
      <c r="AA23" s="38"/>
    </row>
    <row r="24" customFormat="false" ht="15" hidden="false" customHeight="true" outlineLevel="0" collapsed="false">
      <c r="A24" s="8" t="s">
        <v>22</v>
      </c>
      <c r="B24" s="119" t="n">
        <v>0.24</v>
      </c>
      <c r="C24" s="120" t="n">
        <v>0.24</v>
      </c>
      <c r="D24" s="120" t="n">
        <v>0.24</v>
      </c>
      <c r="E24" s="120" t="n">
        <v>0.24</v>
      </c>
      <c r="F24" s="120" t="n">
        <v>0.24</v>
      </c>
      <c r="G24" s="120" t="n">
        <v>0.24</v>
      </c>
      <c r="H24" s="120" t="n">
        <v>0.24</v>
      </c>
      <c r="I24" s="120" t="n">
        <v>0.24</v>
      </c>
      <c r="J24" s="120" t="n">
        <v>0.24</v>
      </c>
      <c r="K24" s="120" t="n">
        <v>0.24</v>
      </c>
      <c r="L24" s="120" t="n">
        <v>0.24</v>
      </c>
      <c r="M24" s="121" t="n">
        <v>0.24</v>
      </c>
      <c r="O24" s="33" t="str">
        <f aca="false">E12</f>
        <v>C028–A001</v>
      </c>
      <c r="P24" s="26"/>
      <c r="Q24" s="61" t="n">
        <f aca="false">AVERAGE(E36:G36)</f>
        <v>-2.52704997873537</v>
      </c>
      <c r="R24" s="61" t="n">
        <f aca="false">Q24-$Q$31</f>
        <v>-0.613551741641636</v>
      </c>
      <c r="S24" s="35" t="n">
        <f aca="false">_xlfn.STDEV.P(E36:G36)</f>
        <v>0.222547631880119</v>
      </c>
      <c r="T24" s="26"/>
      <c r="U24" s="35" t="n">
        <f aca="false">AVERAGE((E36/E23),(F36/F23),(G36/G23))</f>
        <v>-10.5293749113974</v>
      </c>
      <c r="V24" s="61" t="n">
        <f aca="false">-(U24-$U$31)</f>
        <v>2.55646559017349</v>
      </c>
      <c r="W24" s="35" t="n">
        <f aca="false">_xlfn.STDEV.P((E36/E23),(F36/F23),(G36/G23))</f>
        <v>0.927281799500497</v>
      </c>
      <c r="X24" s="26"/>
      <c r="Y24" s="36" t="n">
        <f aca="false">V24/($S$11*$S$12)*1000</f>
        <v>1.15363970675699</v>
      </c>
      <c r="Z24" s="37" t="n">
        <f aca="false">W24/($S$11*$S$12)*1000</f>
        <v>0.418448465478564</v>
      </c>
      <c r="AA24" s="38" t="str">
        <f aca="false">IF(AND(Y24&gt;(Z24*5),Y24&gt;($Y$31/2)),"Hit","")</f>
        <v/>
      </c>
      <c r="AB24" s="39" t="str">
        <f aca="false">IF(AND(Y24&gt;(Z24*3),Y24&gt;($Y$31/2)),"Hit","")</f>
        <v/>
      </c>
    </row>
    <row r="25" customFormat="false" ht="15" hidden="false" customHeight="true" outlineLevel="0" collapsed="false">
      <c r="A25" s="8" t="s">
        <v>27</v>
      </c>
      <c r="B25" s="119" t="n">
        <v>0.24</v>
      </c>
      <c r="C25" s="120" t="n">
        <v>0.24</v>
      </c>
      <c r="D25" s="120" t="n">
        <v>0.24</v>
      </c>
      <c r="E25" s="120" t="n">
        <v>0.24</v>
      </c>
      <c r="F25" s="120" t="n">
        <v>0.24</v>
      </c>
      <c r="G25" s="120" t="n">
        <v>0.24</v>
      </c>
      <c r="H25" s="120" t="n">
        <v>0.24</v>
      </c>
      <c r="I25" s="120" t="n">
        <v>0.24</v>
      </c>
      <c r="J25" s="120" t="n">
        <v>0.24</v>
      </c>
      <c r="K25" s="120" t="n">
        <v>0.24</v>
      </c>
      <c r="L25" s="120" t="n">
        <v>0.24</v>
      </c>
      <c r="M25" s="121" t="n">
        <v>0.24</v>
      </c>
      <c r="O25" s="33" t="str">
        <f aca="false">E13</f>
        <v>C028–A002</v>
      </c>
      <c r="P25" s="26"/>
      <c r="Q25" s="61" t="n">
        <f aca="false">AVERAGE(E37:G37)</f>
        <v>-2.65848458657447</v>
      </c>
      <c r="R25" s="61" t="n">
        <f aca="false">Q25-$Q$31</f>
        <v>-0.744986349480737</v>
      </c>
      <c r="S25" s="35" t="n">
        <f aca="false">_xlfn.STDEV.P(E37:G37)</f>
        <v>0.329224793353398</v>
      </c>
      <c r="T25" s="26"/>
      <c r="U25" s="35" t="n">
        <f aca="false">AVERAGE((E37/E24),(F37/F24),(G37/G24))</f>
        <v>-11.077019110727</v>
      </c>
      <c r="V25" s="61" t="n">
        <f aca="false">-(U25-$U$31)</f>
        <v>3.10410978950307</v>
      </c>
      <c r="W25" s="35" t="n">
        <f aca="false">_xlfn.STDEV.P((E37/E24),(F37/F24),(G37/G24))</f>
        <v>1.37176997230583</v>
      </c>
      <c r="X25" s="26"/>
      <c r="Y25" s="36" t="n">
        <f aca="false">V25/($S$11*$S$12)*1000</f>
        <v>1.40077156566023</v>
      </c>
      <c r="Z25" s="37" t="n">
        <f aca="false">W25/($S$11*$S$12)*1000</f>
        <v>0.619029770896131</v>
      </c>
      <c r="AA25" s="38" t="str">
        <f aca="false">IF(AND(Y25&gt;(Z25*5),Y25&gt;($Y$31/2)),"Hit","")</f>
        <v/>
      </c>
      <c r="AB25" s="39" t="str">
        <f aca="false">IF(AND(Y25&gt;(Z25*3),Y25&gt;($Y$31/2)),"Hit","")</f>
        <v/>
      </c>
    </row>
    <row r="26" customFormat="false" ht="15" hidden="false" customHeight="true" outlineLevel="0" collapsed="false">
      <c r="A26" s="8" t="s">
        <v>37</v>
      </c>
      <c r="B26" s="119" t="n">
        <v>0.24</v>
      </c>
      <c r="C26" s="120" t="n">
        <v>0.24</v>
      </c>
      <c r="D26" s="120" t="n">
        <v>0.24</v>
      </c>
      <c r="E26" s="120" t="n">
        <v>0.24</v>
      </c>
      <c r="F26" s="120" t="n">
        <v>0.24</v>
      </c>
      <c r="G26" s="120" t="n">
        <v>0.24</v>
      </c>
      <c r="H26" s="120" t="n">
        <v>0.24</v>
      </c>
      <c r="I26" s="120" t="n">
        <v>0.24</v>
      </c>
      <c r="J26" s="120" t="n">
        <v>0.24</v>
      </c>
      <c r="K26" s="120" t="n">
        <v>0.24</v>
      </c>
      <c r="L26" s="120" t="n">
        <v>0.24</v>
      </c>
      <c r="M26" s="121" t="n">
        <v>0.24</v>
      </c>
      <c r="O26" s="33" t="str">
        <f aca="false">E14</f>
        <v>C028–A006</v>
      </c>
      <c r="P26" s="26"/>
      <c r="Q26" s="61" t="n">
        <f aca="false">AVERAGE(E38:G38)</f>
        <v>-1.61432275589579</v>
      </c>
      <c r="R26" s="61" t="n">
        <f aca="false">Q26-$Q$31</f>
        <v>0.29917548119795</v>
      </c>
      <c r="S26" s="35" t="n">
        <f aca="false">_xlfn.STDEV.P(E38:G38)</f>
        <v>0.271953843427417</v>
      </c>
      <c r="T26" s="26"/>
      <c r="U26" s="35" t="n">
        <f aca="false">AVERAGE((E38/E25),(F38/F25),(G38/G25))</f>
        <v>-6.72634481623244</v>
      </c>
      <c r="V26" s="61" t="n">
        <f aca="false">-(U26-$U$31)</f>
        <v>-1.24656450499146</v>
      </c>
      <c r="W26" s="35" t="n">
        <f aca="false">_xlfn.STDEV.P((E38/E25),(F38/F25),(G38/G25))</f>
        <v>1.1331410142809</v>
      </c>
      <c r="X26" s="26"/>
      <c r="Y26" s="36" t="n">
        <f aca="false">V26/($S$11*$S$12)*1000</f>
        <v>-0.562529108750658</v>
      </c>
      <c r="Z26" s="37" t="n">
        <f aca="false">W26/($S$11*$S$12)*1000</f>
        <v>0.51134522305095</v>
      </c>
      <c r="AA26" s="38" t="str">
        <f aca="false">IF(AND(Y26&gt;(Z26*5),Y26&gt;($Y$31/2)),"Hit","")</f>
        <v/>
      </c>
      <c r="AB26" s="39" t="str">
        <f aca="false">IF(AND(Y26&gt;(Z26*3),Y26&gt;($Y$31/2)),"Hit","")</f>
        <v/>
      </c>
    </row>
    <row r="27" customFormat="false" ht="15" hidden="false" customHeight="true" outlineLevel="0" collapsed="false">
      <c r="A27" s="8" t="s">
        <v>47</v>
      </c>
      <c r="B27" s="119" t="n">
        <v>0.24</v>
      </c>
      <c r="C27" s="120" t="n">
        <v>0.24</v>
      </c>
      <c r="D27" s="120" t="n">
        <v>0.24</v>
      </c>
      <c r="E27" s="120" t="n">
        <v>0.24</v>
      </c>
      <c r="F27" s="120" t="n">
        <v>0.24</v>
      </c>
      <c r="G27" s="120" t="n">
        <v>0.24</v>
      </c>
      <c r="H27" s="120" t="n">
        <v>0.24</v>
      </c>
      <c r="I27" s="120" t="n">
        <v>0.24</v>
      </c>
      <c r="J27" s="120" t="n">
        <v>0.24</v>
      </c>
      <c r="K27" s="120" t="n">
        <v>0.24</v>
      </c>
      <c r="L27" s="120" t="n">
        <v>0.24</v>
      </c>
      <c r="M27" s="121" t="n">
        <v>0.24</v>
      </c>
      <c r="O27" s="43" t="str">
        <f aca="false">E15</f>
        <v>C028–A011</v>
      </c>
      <c r="P27" s="59"/>
      <c r="Q27" s="60" t="n">
        <f aca="false">AVERAGE(E39:G39)</f>
        <v>-31.4725282010092</v>
      </c>
      <c r="R27" s="60" t="n">
        <f aca="false">Q27-$Q$31</f>
        <v>-29.5590299639155</v>
      </c>
      <c r="S27" s="45" t="n">
        <f aca="false">_xlfn.STDEV.P(E39:G39)</f>
        <v>1.67656064862854</v>
      </c>
      <c r="T27" s="59"/>
      <c r="U27" s="45" t="n">
        <f aca="false">AVERAGE((E39/E26),(F39/F26),(G39/G26))</f>
        <v>-131.135534170872</v>
      </c>
      <c r="V27" s="60" t="n">
        <f aca="false">-(U27-$U$31)</f>
        <v>123.162624849648</v>
      </c>
      <c r="W27" s="45" t="n">
        <f aca="false">_xlfn.STDEV.P((E39/E26),(F39/F26),(G39/G26))</f>
        <v>6.98566936928556</v>
      </c>
      <c r="X27" s="59"/>
      <c r="Y27" s="46" t="n">
        <f aca="false">V27/($S$11*$S$12)*1000</f>
        <v>55.5788018274584</v>
      </c>
      <c r="Z27" s="47" t="n">
        <f aca="false">W27/($S$11*$S$12)*1000</f>
        <v>3.15237787422633</v>
      </c>
      <c r="AA27" s="38" t="str">
        <f aca="false">IF(AND(Y27&gt;(Z27*5),Y27&gt;($Y$31/2)),"Hit","")</f>
        <v>Hit</v>
      </c>
      <c r="AB27" s="39" t="str">
        <f aca="false">IF(AND(Y27&gt;(Z27*3),Y27&gt;($Y$31/2)),"Hit","")</f>
        <v>Hit</v>
      </c>
    </row>
    <row r="28" customFormat="false" ht="15" hidden="false" customHeight="true" outlineLevel="0" collapsed="false">
      <c r="A28" s="8" t="s">
        <v>52</v>
      </c>
      <c r="B28" s="119" t="n">
        <v>0.24</v>
      </c>
      <c r="C28" s="120" t="n">
        <v>0.24</v>
      </c>
      <c r="D28" s="120" t="n">
        <v>0.24</v>
      </c>
      <c r="E28" s="120" t="n">
        <v>0.24</v>
      </c>
      <c r="F28" s="120" t="n">
        <v>0.24</v>
      </c>
      <c r="G28" s="120" t="n">
        <v>0.24</v>
      </c>
      <c r="H28" s="120" t="n">
        <v>0.24</v>
      </c>
      <c r="I28" s="120" t="n">
        <v>0.24</v>
      </c>
      <c r="J28" s="120" t="n">
        <v>0.24</v>
      </c>
      <c r="K28" s="120" t="n">
        <v>0.24</v>
      </c>
      <c r="L28" s="120" t="n">
        <v>0.24</v>
      </c>
      <c r="M28" s="121" t="n">
        <v>0.24</v>
      </c>
      <c r="O28" s="33" t="str">
        <f aca="false">E16</f>
        <v>C028–A025</v>
      </c>
      <c r="P28" s="26"/>
      <c r="Q28" s="61" t="n">
        <f aca="false">AVERAGE(E40:G40)</f>
        <v>-1.6957264957265</v>
      </c>
      <c r="R28" s="61" t="n">
        <f aca="false">Q28-$Q$31</f>
        <v>0.217771741367236</v>
      </c>
      <c r="S28" s="35" t="n">
        <f aca="false">_xlfn.STDEV.P(E40:G40)</f>
        <v>0.22799397036318</v>
      </c>
      <c r="T28" s="26"/>
      <c r="U28" s="35" t="n">
        <f aca="false">AVERAGE((E40/E27),(F40/F27),(G40/G27))</f>
        <v>-7.06552706552708</v>
      </c>
      <c r="V28" s="61" t="n">
        <f aca="false">-(U28-$U$31)</f>
        <v>-0.90738225569682</v>
      </c>
      <c r="W28" s="35" t="n">
        <f aca="false">_xlfn.STDEV.P((E40/E27),(F40/F27),(G40/G27))</f>
        <v>0.94997487651325</v>
      </c>
      <c r="X28" s="26"/>
      <c r="Y28" s="36" t="n">
        <f aca="false">V28/($S$11*$S$12)*1000</f>
        <v>-0.409468526938998</v>
      </c>
      <c r="Z28" s="37" t="n">
        <f aca="false">W28/($S$11*$S$12)*1000</f>
        <v>0.428689023697315</v>
      </c>
      <c r="AA28" s="38" t="str">
        <f aca="false">IF(AND(Y28&gt;(Z28*5),Y28&gt;($Y$31/2)),"Hit","")</f>
        <v/>
      </c>
      <c r="AB28" s="39" t="str">
        <f aca="false">IF(AND(Y28&gt;(Z28*3),Y28&gt;($Y$31/2)),"Hit","")</f>
        <v/>
      </c>
    </row>
    <row r="29" customFormat="false" ht="15" hidden="false" customHeight="true" outlineLevel="0" collapsed="false">
      <c r="A29" s="8" t="s">
        <v>57</v>
      </c>
      <c r="B29" s="119" t="n">
        <v>0.24</v>
      </c>
      <c r="C29" s="120" t="n">
        <v>0.24</v>
      </c>
      <c r="D29" s="120" t="n">
        <v>0.24</v>
      </c>
      <c r="E29" s="120" t="n">
        <v>0.24</v>
      </c>
      <c r="F29" s="120" t="n">
        <v>0.24</v>
      </c>
      <c r="G29" s="120" t="n">
        <v>0.24</v>
      </c>
      <c r="H29" s="120" t="n">
        <v>0.24</v>
      </c>
      <c r="I29" s="120" t="n">
        <v>0.24</v>
      </c>
      <c r="J29" s="120" t="n">
        <v>0.24</v>
      </c>
      <c r="K29" s="120" t="n">
        <v>0.24</v>
      </c>
      <c r="L29" s="120" t="n">
        <v>0.24</v>
      </c>
      <c r="M29" s="121" t="n">
        <v>0.24</v>
      </c>
      <c r="O29" s="33" t="str">
        <f aca="false">E17</f>
        <v>C028–A030</v>
      </c>
      <c r="P29" s="113"/>
      <c r="Q29" s="61" t="n">
        <f aca="false">AVERAGE(E41:G41)</f>
        <v>-1.16334801278622</v>
      </c>
      <c r="R29" s="61" t="n">
        <f aca="false">Q29-$Q$31</f>
        <v>0.750150224307516</v>
      </c>
      <c r="S29" s="35" t="n">
        <f aca="false">_xlfn.STDEV.P(E41:G41)</f>
        <v>0.479086485929602</v>
      </c>
      <c r="T29" s="26"/>
      <c r="U29" s="35" t="n">
        <f aca="false">AVERAGE((E41/E28),(F41/F28),(G41/G28))</f>
        <v>-4.84728338660925</v>
      </c>
      <c r="V29" s="61" t="n">
        <f aca="false">-(U29-$U$31)</f>
        <v>-3.12562593461465</v>
      </c>
      <c r="W29" s="35" t="n">
        <f aca="false">_xlfn.STDEV.P((E41/E28),(F41/F28),(G41/G28))</f>
        <v>1.99619369137334</v>
      </c>
      <c r="X29" s="26"/>
      <c r="Y29" s="36" t="n">
        <f aca="false">V29/($S$11*$S$12)*1000</f>
        <v>-1.41048101742538</v>
      </c>
      <c r="Z29" s="37" t="n">
        <f aca="false">W29/($S$11*$S$12)*1000</f>
        <v>0.900809427515046</v>
      </c>
      <c r="AA29" s="38" t="str">
        <f aca="false">IF(AND(Y29&gt;(Z29*5),Y29&gt;($Y$31/2)),"Hit","")</f>
        <v/>
      </c>
      <c r="AB29" s="39" t="str">
        <f aca="false">IF(AND(Y29&gt;(Z29*3),Y29&gt;($Y$31/2)),"Hit","")</f>
        <v/>
      </c>
    </row>
    <row r="30" customFormat="false" ht="15" hidden="false" customHeight="true" outlineLevel="0" collapsed="false">
      <c r="A30" s="8" t="s">
        <v>62</v>
      </c>
      <c r="B30" s="122" t="n">
        <v>0.24</v>
      </c>
      <c r="C30" s="123" t="n">
        <v>0.24</v>
      </c>
      <c r="D30" s="123" t="n">
        <v>0.24</v>
      </c>
      <c r="E30" s="123" t="n">
        <v>0.24</v>
      </c>
      <c r="F30" s="123" t="n">
        <v>0.24</v>
      </c>
      <c r="G30" s="123" t="n">
        <v>0.24</v>
      </c>
      <c r="H30" s="123" t="n">
        <v>0.24</v>
      </c>
      <c r="I30" s="123" t="n">
        <v>0.24</v>
      </c>
      <c r="J30" s="123" t="n">
        <v>0.24</v>
      </c>
      <c r="K30" s="123" t="n">
        <v>0.24</v>
      </c>
      <c r="L30" s="123" t="n">
        <v>0.24</v>
      </c>
      <c r="M30" s="124" t="n">
        <v>0.24</v>
      </c>
      <c r="O30" s="33" t="str">
        <f aca="false">E18</f>
        <v>C028–A036</v>
      </c>
      <c r="P30" s="72"/>
      <c r="Q30" s="61" t="n">
        <f aca="false">AVERAGE(E42:G42)</f>
        <v>-1.00121551357507</v>
      </c>
      <c r="R30" s="61" t="n">
        <f aca="false">Q30-$Q$31</f>
        <v>0.912282723518666</v>
      </c>
      <c r="S30" s="35" t="n">
        <f aca="false">_xlfn.STDEV.P(E42:G42)</f>
        <v>0.129051628094204</v>
      </c>
      <c r="T30" s="72"/>
      <c r="U30" s="35" t="n">
        <f aca="false">AVERAGE((E42/E29),(F42/F29),(G42/G29))</f>
        <v>-4.17173130656279</v>
      </c>
      <c r="V30" s="61" t="n">
        <f aca="false">-(U30-$U$31)</f>
        <v>-3.80117801466111</v>
      </c>
      <c r="W30" s="35" t="n">
        <f aca="false">_xlfn.STDEV.P((E42/E29),(F42/F29),(G42/G29))</f>
        <v>0.537715117059182</v>
      </c>
      <c r="X30" s="72"/>
      <c r="Y30" s="36" t="n">
        <f aca="false">V30/($S$11*$S$12)*1000</f>
        <v>-1.715333039107</v>
      </c>
      <c r="Z30" s="37" t="n">
        <f aca="false">W30/($S$11*$S$12)*1000</f>
        <v>0.242651226109739</v>
      </c>
      <c r="AA30" s="38" t="str">
        <f aca="false">IF(AND(Y30&gt;(Z30*5),Y30&gt;($Y$31/2)),"Hit","")</f>
        <v/>
      </c>
      <c r="AB30" s="39" t="str">
        <f aca="false">IF(AND(Y30&gt;(Z30*3),Y30&gt;($Y$31/2)),"Hit","")</f>
        <v/>
      </c>
    </row>
    <row r="31" customFormat="false" ht="15" hidden="false" customHeight="true" outlineLevel="0" collapsed="false">
      <c r="O31" s="52" t="str">
        <f aca="false">E19</f>
        <v>C028 w/o amine</v>
      </c>
      <c r="P31" s="53"/>
      <c r="Q31" s="73" t="n">
        <f aca="false">AVERAGE(E43:G43)</f>
        <v>-1.91349823709374</v>
      </c>
      <c r="R31" s="73"/>
      <c r="S31" s="54" t="n">
        <f aca="false">_xlfn.STDEV.P(E43:G43)</f>
        <v>0.670398264309232</v>
      </c>
      <c r="T31" s="74"/>
      <c r="U31" s="54" t="n">
        <f aca="false">AVERAGE((E43/E30),(F43/F30),(G43/G30))</f>
        <v>-7.9729093212239</v>
      </c>
      <c r="V31" s="75" t="n">
        <f aca="false">-U31</f>
        <v>7.9729093212239</v>
      </c>
      <c r="W31" s="54" t="n">
        <f aca="false">_xlfn.STDEV.P((E43/E30),(F43/F30),(G43/G30))</f>
        <v>2.79332610128847</v>
      </c>
      <c r="X31" s="74"/>
      <c r="Y31" s="54" t="n">
        <f aca="false">V31/($S$11*$S$12)*1000</f>
        <v>3.59788326770032</v>
      </c>
      <c r="Z31" s="55" t="n">
        <f aca="false">W31/($S$11*$S$12)*1000</f>
        <v>1.26052621899299</v>
      </c>
      <c r="AA31" s="38"/>
    </row>
    <row r="32" customFormat="false" ht="15" hidden="false" customHeight="true" outlineLevel="0" collapsed="false">
      <c r="B32" s="76"/>
      <c r="C32" s="77" t="s">
        <v>69</v>
      </c>
      <c r="O32" s="78" t="str">
        <f aca="false">H12</f>
        <v>C037–A001</v>
      </c>
      <c r="P32" s="26"/>
      <c r="Q32" s="61" t="n">
        <f aca="false">AVERAGE(H36:J36)</f>
        <v>-0.797173862342411</v>
      </c>
      <c r="R32" s="61" t="n">
        <f aca="false">Q32-$Q$39</f>
        <v>0.306078939786792</v>
      </c>
      <c r="S32" s="35" t="n">
        <f aca="false">_xlfn.STDEV.P(H36:J36)</f>
        <v>1.08823522022565</v>
      </c>
      <c r="T32" s="30"/>
      <c r="U32" s="35" t="n">
        <f aca="false">AVERAGE((H36/H23),(I36/I23),(J36/J23))</f>
        <v>-3.32155775976005</v>
      </c>
      <c r="V32" s="61" t="n">
        <f aca="false">-(U32-$U$39)</f>
        <v>-1.2753289157783</v>
      </c>
      <c r="W32" s="35" t="n">
        <f aca="false">_xlfn.STDEV.P((H36/H23),(I36/I23),(J36/J23))</f>
        <v>4.53431341760689</v>
      </c>
      <c r="X32" s="30"/>
      <c r="Y32" s="36" t="n">
        <f aca="false">V32/($S$11*$S$12)*1000</f>
        <v>-0.575509438528115</v>
      </c>
      <c r="Z32" s="37" t="n">
        <f aca="false">W32/($S$11*$S$12)*1000</f>
        <v>2.04617031480455</v>
      </c>
      <c r="AA32" s="38" t="str">
        <f aca="false">IF(AND(Y32&gt;(Z32*5),Y32&gt;($Y$39/2)),"Hit","")</f>
        <v/>
      </c>
      <c r="AB32" s="39" t="str">
        <f aca="false">IF(AND(Y32&gt;(Z32*3),Y32&gt;($Y$39/2)),"Hit","")</f>
        <v/>
      </c>
    </row>
    <row r="33" customFormat="false" ht="15" hidden="false" customHeight="true" outlineLevel="0" collapsed="false">
      <c r="O33" s="125" t="str">
        <f aca="false">H13</f>
        <v>C037–A002</v>
      </c>
      <c r="P33" s="126"/>
      <c r="Q33" s="127" t="n">
        <f aca="false">AVERAGE(H37:J37)</f>
        <v>-2.61765101315663</v>
      </c>
      <c r="R33" s="127" t="n">
        <f aca="false">Q33-$Q$39</f>
        <v>-1.51439821102743</v>
      </c>
      <c r="S33" s="128" t="n">
        <f aca="false">_xlfn.STDEV.P(H37:J37)</f>
        <v>0.322845025143254</v>
      </c>
      <c r="T33" s="128"/>
      <c r="U33" s="128" t="n">
        <f aca="false">AVERAGE((H37/H24),(I37/I24),(J37/J24))</f>
        <v>-10.906879221486</v>
      </c>
      <c r="V33" s="127" t="n">
        <f aca="false">-(U33-$U$39)</f>
        <v>6.30999254594761</v>
      </c>
      <c r="W33" s="128" t="n">
        <f aca="false">_xlfn.STDEV.P((H37/H24),(I37/I24),(J37/J24))</f>
        <v>1.34518760476356</v>
      </c>
      <c r="X33" s="128"/>
      <c r="Y33" s="129" t="n">
        <f aca="false">V33/($S$11*$S$12)*1000</f>
        <v>2.84746956044567</v>
      </c>
      <c r="Z33" s="130" t="n">
        <f aca="false">W33/($S$11*$S$12)*1000</f>
        <v>0.607034117673087</v>
      </c>
      <c r="AA33" s="38" t="str">
        <f aca="false">IF(AND(Y33&gt;(Z33*5),Y33&gt;($Y$39/2)),"Hit","")</f>
        <v/>
      </c>
      <c r="AB33" s="39" t="str">
        <f aca="false">IF(AND(Y33&gt;(Z33*3),Y33&gt;($Y$39/2)),"Hit","")</f>
        <v>Hit</v>
      </c>
    </row>
    <row r="34" customFormat="false" ht="15" hidden="false" customHeight="true" outlineLevel="0" collapsed="false">
      <c r="A34" s="2" t="s">
        <v>70</v>
      </c>
      <c r="E34" s="48" t="s">
        <v>71</v>
      </c>
      <c r="O34" s="131" t="str">
        <f aca="false">H14</f>
        <v>C037–A006</v>
      </c>
      <c r="P34" s="44"/>
      <c r="Q34" s="60" t="n">
        <f aca="false">AVERAGE(H38:J38)</f>
        <v>-1.66059458643728</v>
      </c>
      <c r="R34" s="60" t="n">
        <f aca="false">Q34-$Q$39</f>
        <v>-0.55734178430808</v>
      </c>
      <c r="S34" s="45" t="n">
        <f aca="false">_xlfn.STDEV.P(H38:J38)</f>
        <v>0.0407485288549557</v>
      </c>
      <c r="T34" s="45"/>
      <c r="U34" s="45" t="n">
        <f aca="false">AVERAGE((H38/H25),(I38/I25),(J38/J25))</f>
        <v>-6.91914411015535</v>
      </c>
      <c r="V34" s="60" t="n">
        <f aca="false">-(U34-$U$39)</f>
        <v>2.322257434617</v>
      </c>
      <c r="W34" s="45" t="n">
        <f aca="false">_xlfn.STDEV.P((H38/H25),(I38/I25),(J38/J25))</f>
        <v>0.169785536895649</v>
      </c>
      <c r="X34" s="45"/>
      <c r="Y34" s="46" t="n">
        <f aca="false">V34/($S$11*$S$12)*1000</f>
        <v>1.0479501058741</v>
      </c>
      <c r="Z34" s="47" t="n">
        <f aca="false">W34/($S$11*$S$12)*1000</f>
        <v>0.0766180220648234</v>
      </c>
      <c r="AA34" s="38"/>
      <c r="AB34" s="39"/>
      <c r="AC34" s="0" t="s">
        <v>112</v>
      </c>
    </row>
    <row r="35" customFormat="false" ht="15" hidden="false" customHeight="true" outlineLevel="0" collapsed="false">
      <c r="B35" s="8" t="n">
        <v>1</v>
      </c>
      <c r="C35" s="8" t="n">
        <v>2</v>
      </c>
      <c r="D35" s="8" t="n">
        <v>3</v>
      </c>
      <c r="E35" s="8" t="n">
        <v>4</v>
      </c>
      <c r="F35" s="8" t="n">
        <v>5</v>
      </c>
      <c r="G35" s="8" t="n">
        <v>6</v>
      </c>
      <c r="H35" s="8" t="n">
        <v>7</v>
      </c>
      <c r="I35" s="8" t="n">
        <v>8</v>
      </c>
      <c r="J35" s="8" t="n">
        <v>9</v>
      </c>
      <c r="K35" s="8" t="n">
        <v>10</v>
      </c>
      <c r="L35" s="8" t="n">
        <v>11</v>
      </c>
      <c r="M35" s="8" t="n">
        <v>12</v>
      </c>
      <c r="O35" s="131" t="str">
        <f aca="false">H15</f>
        <v>C037–A011</v>
      </c>
      <c r="P35" s="44"/>
      <c r="Q35" s="60" t="n">
        <f aca="false">AVERAGE(H39:J39)</f>
        <v>-17.7454545454545</v>
      </c>
      <c r="R35" s="60" t="n">
        <f aca="false">Q35-$Q$39</f>
        <v>-16.6422017433253</v>
      </c>
      <c r="S35" s="45" t="n">
        <f aca="false">_xlfn.STDEV.P(H39:J39)</f>
        <v>2.4908623948043</v>
      </c>
      <c r="T35" s="45"/>
      <c r="U35" s="45" t="n">
        <f aca="false">AVERAGE((H39/H26),(I39/I26),(J39/J26))</f>
        <v>-73.9393939393939</v>
      </c>
      <c r="V35" s="60" t="n">
        <f aca="false">-(U35-$U$39)</f>
        <v>69.3425072638556</v>
      </c>
      <c r="W35" s="45" t="n">
        <f aca="false">_xlfn.STDEV.P((H39/H26),(I39/I26),(J39/J26))</f>
        <v>10.3785933116846</v>
      </c>
      <c r="X35" s="45"/>
      <c r="Y35" s="46" t="n">
        <f aca="false">V35/($S$11*$S$12)*1000</f>
        <v>31.2917451551695</v>
      </c>
      <c r="Z35" s="47" t="n">
        <f aca="false">W35/($S$11*$S$12)*1000</f>
        <v>4.68348073631976</v>
      </c>
      <c r="AA35" s="38" t="str">
        <f aca="false">IF(AND(Y35&gt;(Z35*5),Y35&gt;($Y$39/2)),"Hit","")</f>
        <v>Hit</v>
      </c>
      <c r="AB35" s="39" t="str">
        <f aca="false">IF(AND(Y35&gt;(Z35*3),Y35&gt;($Y$39/2)),"Hit","")</f>
        <v>Hit</v>
      </c>
    </row>
    <row r="36" customFormat="false" ht="15" hidden="false" customHeight="true" outlineLevel="0" collapsed="false">
      <c r="A36" s="8" t="s">
        <v>16</v>
      </c>
      <c r="B36" s="81" t="n">
        <v>-0.532246779437794</v>
      </c>
      <c r="C36" s="82" t="n">
        <v>-0.973519364530612</v>
      </c>
      <c r="D36" s="82" t="n">
        <v>-0.675573116022558</v>
      </c>
      <c r="E36" s="82" t="n">
        <v>-2.21266823064577</v>
      </c>
      <c r="F36" s="82" t="n">
        <v>-2.69705724986623</v>
      </c>
      <c r="G36" s="82" t="n">
        <v>-2.67142445569412</v>
      </c>
      <c r="H36" s="82" t="n">
        <v>-1.2135819236943</v>
      </c>
      <c r="I36" s="82" t="n">
        <v>0.694126846935827</v>
      </c>
      <c r="J36" s="82" t="n">
        <v>-1.87206651026876</v>
      </c>
      <c r="K36" s="82" t="n">
        <v>-1.23396304070462</v>
      </c>
      <c r="L36" s="82" t="n">
        <v>-1.15314647898918</v>
      </c>
      <c r="M36" s="83" t="n">
        <v>-1.03479441906409</v>
      </c>
      <c r="O36" s="78" t="str">
        <f aca="false">H16</f>
        <v>C037–A025</v>
      </c>
      <c r="P36" s="34"/>
      <c r="Q36" s="61" t="n">
        <f aca="false">AVERAGE(H40:J40)</f>
        <v>-0.886199942379717</v>
      </c>
      <c r="R36" s="61" t="n">
        <f aca="false">Q36-$Q$39</f>
        <v>0.217052859749486</v>
      </c>
      <c r="S36" s="35" t="n">
        <f aca="false">_xlfn.STDEV.P(H40:J40)</f>
        <v>0.45966056388109</v>
      </c>
      <c r="T36" s="35"/>
      <c r="U36" s="35" t="n">
        <f aca="false">AVERAGE((H40/H27),(I40/I27),(J40/J27))</f>
        <v>-3.69249975991549</v>
      </c>
      <c r="V36" s="61" t="n">
        <f aca="false">-(U36-$U$39)</f>
        <v>-0.904386915622859</v>
      </c>
      <c r="W36" s="35" t="n">
        <f aca="false">_xlfn.STDEV.P((H40/H27),(I40/I27),(J40/J27))</f>
        <v>1.91525234950454</v>
      </c>
      <c r="X36" s="35"/>
      <c r="Y36" s="36" t="n">
        <f aca="false">V36/($S$11*$S$12)*1000</f>
        <v>-0.408116839179991</v>
      </c>
      <c r="Z36" s="37" t="n">
        <f aca="false">W36/($S$11*$S$12)*1000</f>
        <v>0.864283551220461</v>
      </c>
      <c r="AA36" s="38" t="str">
        <f aca="false">IF(AND(Y36&gt;(Z36*5),Y36&gt;($Y$39/2)),"Hit","")</f>
        <v/>
      </c>
      <c r="AB36" s="39" t="str">
        <f aca="false">IF(AND(Y36&gt;(Z36*3),Y36&gt;($Y$39/2)),"Hit","")</f>
        <v/>
      </c>
    </row>
    <row r="37" customFormat="false" ht="15" hidden="false" customHeight="true" outlineLevel="0" collapsed="false">
      <c r="A37" s="8" t="s">
        <v>22</v>
      </c>
      <c r="B37" s="84" t="n">
        <v>-2.7957525620447</v>
      </c>
      <c r="C37" s="89" t="s">
        <v>113</v>
      </c>
      <c r="D37" s="89" t="s">
        <v>113</v>
      </c>
      <c r="E37" s="85" t="n">
        <v>-2.42367370457258</v>
      </c>
      <c r="F37" s="85" t="n">
        <v>-3.12407293081451</v>
      </c>
      <c r="G37" s="85" t="n">
        <v>-2.42770712433633</v>
      </c>
      <c r="H37" s="85" t="n">
        <v>-2.23917356052187</v>
      </c>
      <c r="I37" s="85" t="n">
        <v>-2.58573486438655</v>
      </c>
      <c r="J37" s="85" t="n">
        <v>-3.02804461456147</v>
      </c>
      <c r="K37" s="85" t="n">
        <v>-1.23620200024694</v>
      </c>
      <c r="L37" s="85" t="n">
        <v>-1.14517841708853</v>
      </c>
      <c r="M37" s="87" t="n">
        <v>-1.21279170267934</v>
      </c>
      <c r="O37" s="78" t="str">
        <f aca="false">H17</f>
        <v>C037–A030</v>
      </c>
      <c r="P37" s="34"/>
      <c r="Q37" s="61" t="n">
        <f aca="false">AVERAGE(H41:J41)</f>
        <v>-1.21188075345379</v>
      </c>
      <c r="R37" s="61" t="n">
        <f aca="false">Q37-$Q$39</f>
        <v>-0.108627951324586</v>
      </c>
      <c r="S37" s="35" t="n">
        <f aca="false">_xlfn.STDEV.P(H41:J41)</f>
        <v>0.243002923801436</v>
      </c>
      <c r="T37" s="35"/>
      <c r="U37" s="35" t="n">
        <f aca="false">AVERAGE((H41/H28),(I41/I28),(J41/J28))</f>
        <v>-5.04950313939079</v>
      </c>
      <c r="V37" s="61" t="n">
        <f aca="false">-(U37-$U$39)</f>
        <v>0.45261646385244</v>
      </c>
      <c r="W37" s="35" t="n">
        <f aca="false">_xlfn.STDEV.P((H41/H28),(I41/I28),(J41/J28))</f>
        <v>1.01251218250599</v>
      </c>
      <c r="X37" s="35"/>
      <c r="Y37" s="36" t="n">
        <f aca="false">V37/($S$11*$S$12)*1000</f>
        <v>0.204249306792617</v>
      </c>
      <c r="Z37" s="37" t="n">
        <f aca="false">W37/($S$11*$S$12)*1000</f>
        <v>0.456909829650715</v>
      </c>
      <c r="AA37" s="38" t="str">
        <f aca="false">IF(AND(Y37&gt;(Z37*5),Y37&gt;($Y$39/2)),"Hit","")</f>
        <v/>
      </c>
      <c r="AB37" s="39" t="str">
        <f aca="false">IF(AND(Y37&gt;(Z37*3),Y37&gt;($Y$39/2)),"Hit","")</f>
        <v/>
      </c>
    </row>
    <row r="38" customFormat="false" ht="15" hidden="false" customHeight="true" outlineLevel="0" collapsed="false">
      <c r="A38" s="8" t="s">
        <v>27</v>
      </c>
      <c r="B38" s="84" t="n">
        <v>-0.31052393299585</v>
      </c>
      <c r="C38" s="85" t="n">
        <v>-1.39182615137673</v>
      </c>
      <c r="D38" s="85" t="n">
        <v>-1.52157056426718</v>
      </c>
      <c r="E38" s="85" t="n">
        <v>-1.23012717619458</v>
      </c>
      <c r="F38" s="85" t="n">
        <v>-1.82170638350415</v>
      </c>
      <c r="G38" s="85" t="n">
        <v>-1.79113470798863</v>
      </c>
      <c r="H38" s="85" t="n">
        <v>-1.60358892044285</v>
      </c>
      <c r="I38" s="85" t="n">
        <v>-1.6964069638227</v>
      </c>
      <c r="J38" s="85" t="n">
        <v>-1.6817878750463</v>
      </c>
      <c r="K38" s="85" t="n">
        <v>-0.987134214100511</v>
      </c>
      <c r="L38" s="85" t="n">
        <v>-1.19960488949252</v>
      </c>
      <c r="M38" s="87" t="n">
        <v>-0.958801498127358</v>
      </c>
      <c r="O38" s="78" t="str">
        <f aca="false">H18</f>
        <v>C037–A036</v>
      </c>
      <c r="P38" s="34"/>
      <c r="Q38" s="61" t="n">
        <f aca="false">AVERAGE(H42:J42)</f>
        <v>-1.1268990684721</v>
      </c>
      <c r="R38" s="61" t="n">
        <f aca="false">Q38-$Q$39</f>
        <v>-0.0236462663429002</v>
      </c>
      <c r="S38" s="35" t="n">
        <f aca="false">_xlfn.STDEV.P(H42:J42)</f>
        <v>0.882916698534901</v>
      </c>
      <c r="T38" s="35"/>
      <c r="U38" s="35" t="n">
        <f aca="false">AVERAGE((H42/H29),(I42/I29),(J42/J29))</f>
        <v>-4.69541278530043</v>
      </c>
      <c r="V38" s="61" t="n">
        <f aca="false">-(U38-$U$39)</f>
        <v>0.0985261097620844</v>
      </c>
      <c r="W38" s="35" t="n">
        <f aca="false">_xlfn.STDEV.P((H42/H29),(I42/I29),(J42/J29))</f>
        <v>3.67881957722876</v>
      </c>
      <c r="X38" s="35"/>
      <c r="Y38" s="36" t="n">
        <f aca="false">V38/($S$11*$S$12)*1000</f>
        <v>0.0444612408673666</v>
      </c>
      <c r="Z38" s="37" t="n">
        <f aca="false">W38/($S$11*$S$12)*1000</f>
        <v>1.66011713773861</v>
      </c>
      <c r="AA38" s="38" t="str">
        <f aca="false">IF(AND(Y38&gt;(Z38*5),Y38&gt;($Y$39/2)),"Hit","")</f>
        <v/>
      </c>
      <c r="AB38" s="39" t="str">
        <f aca="false">IF(AND(Y38&gt;(Z38*3),Y38&gt;($Y$39/2)),"Hit","")</f>
        <v/>
      </c>
    </row>
    <row r="39" customFormat="false" ht="15" hidden="false" customHeight="true" outlineLevel="0" collapsed="false">
      <c r="A39" s="8" t="s">
        <v>37</v>
      </c>
      <c r="B39" s="84" t="n">
        <v>-4.79642754249495</v>
      </c>
      <c r="C39" s="85" t="n">
        <v>-3.96208585422069</v>
      </c>
      <c r="D39" s="85" t="n">
        <v>-3.70124706753921</v>
      </c>
      <c r="E39" s="85" t="n">
        <v>-33.300959857079</v>
      </c>
      <c r="F39" s="85" t="n">
        <v>-29.2510588887158</v>
      </c>
      <c r="G39" s="85" t="n">
        <v>-31.8655658572328</v>
      </c>
      <c r="H39" s="132" t="n">
        <v>-14.7636363636363</v>
      </c>
      <c r="I39" s="132" t="n">
        <v>-20.8606060606061</v>
      </c>
      <c r="J39" s="132" t="n">
        <v>-17.6121212121212</v>
      </c>
      <c r="K39" s="85" t="n">
        <v>-5.87165493682348</v>
      </c>
      <c r="L39" s="85" t="n">
        <v>-5.08480882413467</v>
      </c>
      <c r="M39" s="87" t="n">
        <v>-4.57455652961272</v>
      </c>
      <c r="O39" s="91" t="str">
        <f aca="false">H19</f>
        <v>C037 w/o amine</v>
      </c>
      <c r="P39" s="53"/>
      <c r="Q39" s="73" t="n">
        <f aca="false">AVERAGE(H43:J43)</f>
        <v>-1.1032528021292</v>
      </c>
      <c r="R39" s="54"/>
      <c r="S39" s="54" t="n">
        <f aca="false">_xlfn.STDEV.P(H43:J43)</f>
        <v>0.511193923697448</v>
      </c>
      <c r="T39" s="54"/>
      <c r="U39" s="54" t="n">
        <f aca="false">AVERAGE((H43/H30),(I43/I30),(J43/J30))</f>
        <v>-4.59688667553835</v>
      </c>
      <c r="V39" s="54" t="n">
        <f aca="false">-U39</f>
        <v>4.59688667553835</v>
      </c>
      <c r="W39" s="54" t="n">
        <f aca="false">_xlfn.STDEV.P((H43/H30),(I43/I30),(J43/J30))</f>
        <v>2.1299746820727</v>
      </c>
      <c r="X39" s="54"/>
      <c r="Y39" s="54" t="n">
        <f aca="false">V39/($S$11*$S$12)*1000</f>
        <v>2.07440734455702</v>
      </c>
      <c r="Z39" s="55" t="n">
        <f aca="false">W39/($S$11*$S$12)*1000</f>
        <v>0.961179910682627</v>
      </c>
      <c r="AA39" s="38"/>
    </row>
    <row r="40" customFormat="false" ht="15" hidden="false" customHeight="true" outlineLevel="0" collapsed="false">
      <c r="A40" s="8" t="s">
        <v>47</v>
      </c>
      <c r="B40" s="84" t="n">
        <v>-0.535078404741347</v>
      </c>
      <c r="C40" s="89" t="s">
        <v>113</v>
      </c>
      <c r="D40" s="85" t="n">
        <v>-0.362201094785359</v>
      </c>
      <c r="E40" s="85" t="n">
        <v>-1.65067292258304</v>
      </c>
      <c r="F40" s="85" t="n">
        <v>-1.44175824175825</v>
      </c>
      <c r="G40" s="85" t="n">
        <v>-1.99474832283821</v>
      </c>
      <c r="H40" s="85" t="n">
        <v>-1.51126476519734</v>
      </c>
      <c r="I40" s="85" t="n">
        <v>-0.728270979956375</v>
      </c>
      <c r="J40" s="85" t="n">
        <v>-0.419064081985436</v>
      </c>
      <c r="K40" s="85" t="n">
        <v>-0.955690002881015</v>
      </c>
      <c r="L40" s="85" t="n">
        <v>-0.920541630654004</v>
      </c>
      <c r="M40" s="87" t="n">
        <v>-0.879878174260203</v>
      </c>
      <c r="O40" s="78" t="str">
        <f aca="false">K12</f>
        <v>C054–A001</v>
      </c>
      <c r="P40" s="34"/>
      <c r="Q40" s="61" t="n">
        <f aca="false">AVERAGE(K36:M36)</f>
        <v>-1.14063464625263</v>
      </c>
      <c r="R40" s="61" t="n">
        <f aca="false">Q40-$Q$47</f>
        <v>-0.120947716453345</v>
      </c>
      <c r="S40" s="35" t="n">
        <f aca="false">_xlfn.STDEV.P(K36:M36)</f>
        <v>0.0817901560106418</v>
      </c>
      <c r="T40" s="35"/>
      <c r="U40" s="35" t="n">
        <f aca="false">AVERAGE((K36/K23),(L36/L23),(M36/M23))</f>
        <v>-4.75264435938596</v>
      </c>
      <c r="V40" s="61" t="n">
        <f aca="false">-(U40-$U$47)</f>
        <v>0.503948818555603</v>
      </c>
      <c r="W40" s="35" t="n">
        <f aca="false">_xlfn.STDEV.P((K36/K23),(L36/L23),(M36/M23))</f>
        <v>0.340792316711008</v>
      </c>
      <c r="X40" s="35"/>
      <c r="Y40" s="36" t="n">
        <f aca="false">V40/($S$11*$S$12)*1000</f>
        <v>0.227413726785019</v>
      </c>
      <c r="Z40" s="37" t="n">
        <f aca="false">W40/($S$11*$S$12)*1000</f>
        <v>0.153787146530238</v>
      </c>
      <c r="AA40" s="38" t="str">
        <f aca="false">IF(AND(Y40&gt;(Z40*5),Y40&gt;($Y$47/2)),"Hit","")</f>
        <v/>
      </c>
      <c r="AB40" s="39" t="str">
        <f aca="false">IF(AND(Y40&gt;(Z40*3),Y40&gt;($Y$47/2)),"Hit","")</f>
        <v/>
      </c>
    </row>
    <row r="41" customFormat="false" ht="15" hidden="false" customHeight="true" outlineLevel="0" collapsed="false">
      <c r="A41" s="8" t="s">
        <v>52</v>
      </c>
      <c r="B41" s="84" t="n">
        <v>-0.555229040622308</v>
      </c>
      <c r="C41" s="85" t="n">
        <v>-0.333983619376859</v>
      </c>
      <c r="D41" s="85" t="n">
        <v>-0.0552660822323708</v>
      </c>
      <c r="E41" s="85" t="n">
        <v>-1.16756801251184</v>
      </c>
      <c r="F41" s="85" t="n">
        <v>-0.574490677861462</v>
      </c>
      <c r="G41" s="85" t="n">
        <v>-1.74798534798536</v>
      </c>
      <c r="H41" s="85" t="n">
        <v>-1.52127423138659</v>
      </c>
      <c r="I41" s="85" t="n">
        <v>-0.927637156850647</v>
      </c>
      <c r="J41" s="85" t="n">
        <v>-1.18673087212413</v>
      </c>
      <c r="K41" s="85" t="n">
        <v>-0.821023171584973</v>
      </c>
      <c r="L41" s="85" t="n">
        <v>-0.686027081532717</v>
      </c>
      <c r="M41" s="87" t="n">
        <v>-0.782779767049452</v>
      </c>
      <c r="O41" s="78" t="str">
        <f aca="false">K13</f>
        <v>C054–A002</v>
      </c>
      <c r="P41" s="26"/>
      <c r="Q41" s="61" t="n">
        <f aca="false">AVERAGE(K37:M37)</f>
        <v>-1.19805737333827</v>
      </c>
      <c r="R41" s="61" t="n">
        <f aca="false">Q41-$Q$47</f>
        <v>-0.178370443538985</v>
      </c>
      <c r="S41" s="35" t="n">
        <f aca="false">_xlfn.STDEV.P(K37:M37)</f>
        <v>0.0385931644949149</v>
      </c>
      <c r="T41" s="26"/>
      <c r="U41" s="35" t="n">
        <f aca="false">AVERAGE((K37/K24),(L37/L24),(M37/M24))</f>
        <v>-4.99190572224279</v>
      </c>
      <c r="V41" s="61" t="n">
        <f aca="false">-(U41-$U$47)</f>
        <v>0.743210181412437</v>
      </c>
      <c r="W41" s="35" t="n">
        <f aca="false">_xlfn.STDEV.P((K37/K24),(L37/L24),(M37/M24))</f>
        <v>0.160804852062145</v>
      </c>
      <c r="X41" s="26"/>
      <c r="Y41" s="36" t="n">
        <f aca="false">V41/($S$11*$S$12)*1000</f>
        <v>0.335383655872038</v>
      </c>
      <c r="Z41" s="37" t="n">
        <f aca="false">W41/($S$11*$S$12)*1000</f>
        <v>0.0725653664540367</v>
      </c>
      <c r="AA41" s="38" t="str">
        <f aca="false">IF(AND(Y41&gt;(Z41*5),Y41&gt;($Y$47/2)),"Hit","")</f>
        <v/>
      </c>
      <c r="AB41" s="39" t="str">
        <f aca="false">IF(AND(Y41&gt;(Z41*3),Y41&gt;($Y$47/2)),"Hit","")</f>
        <v/>
      </c>
    </row>
    <row r="42" customFormat="false" ht="15" hidden="false" customHeight="true" outlineLevel="0" collapsed="false">
      <c r="A42" s="8" t="s">
        <v>57</v>
      </c>
      <c r="B42" s="84" t="n">
        <v>-1.19097831007945</v>
      </c>
      <c r="C42" s="85" t="n">
        <v>-0.471251594847086</v>
      </c>
      <c r="D42" s="85" t="n">
        <v>-0.218594888257831</v>
      </c>
      <c r="E42" s="85" t="n">
        <v>-0.833271597316552</v>
      </c>
      <c r="F42" s="85" t="n">
        <v>-1.14705519199901</v>
      </c>
      <c r="G42" s="85" t="n">
        <v>-1.02331975140965</v>
      </c>
      <c r="H42" s="85" t="n">
        <v>-0.437222702391256</v>
      </c>
      <c r="I42" s="85" t="n">
        <v>-2.37316541136765</v>
      </c>
      <c r="J42" s="85" t="n">
        <v>-0.570309091657405</v>
      </c>
      <c r="K42" s="85" t="n">
        <v>-0.556447298020324</v>
      </c>
      <c r="L42" s="85" t="n">
        <v>-0.73166234514548</v>
      </c>
      <c r="M42" s="87" t="n">
        <v>-0.702127834712119</v>
      </c>
      <c r="O42" s="78" t="str">
        <f aca="false">K14</f>
        <v>C054–A006</v>
      </c>
      <c r="P42" s="72"/>
      <c r="Q42" s="61" t="n">
        <f aca="false">AVERAGE(K38:M38)</f>
        <v>-1.0485135339068</v>
      </c>
      <c r="R42" s="61" t="n">
        <f aca="false">Q42-$Q$47</f>
        <v>-0.0288266041075109</v>
      </c>
      <c r="S42" s="35" t="n">
        <f aca="false">_xlfn.STDEV.P(K38:M38)</f>
        <v>0.107462036701812</v>
      </c>
      <c r="T42" s="72"/>
      <c r="U42" s="35" t="n">
        <f aca="false">AVERAGE((K38/K25),(L38/L25),(M38/M25))</f>
        <v>-4.36880639127832</v>
      </c>
      <c r="V42" s="61" t="n">
        <f aca="false">-(U42-$U$47)</f>
        <v>0.120110850447963</v>
      </c>
      <c r="W42" s="35" t="n">
        <f aca="false">_xlfn.STDEV.P((K38/K25),(L38/L25),(M38/M25))</f>
        <v>0.447758486257552</v>
      </c>
      <c r="X42" s="72"/>
      <c r="Y42" s="36" t="n">
        <f aca="false">V42/($S$11*$S$12)*1000</f>
        <v>0.0542016473140628</v>
      </c>
      <c r="Z42" s="37" t="n">
        <f aca="false">W42/($S$11*$S$12)*1000</f>
        <v>0.202057078636079</v>
      </c>
      <c r="AA42" s="38" t="str">
        <f aca="false">IF(AND(Y42&gt;(Z42*5),Y42&gt;($Y$47/2)),"Hit","")</f>
        <v/>
      </c>
      <c r="AB42" s="39" t="str">
        <f aca="false">IF(AND(Y42&gt;(Z42*3),Y42&gt;($Y$47/2)),"Hit","")</f>
        <v/>
      </c>
    </row>
    <row r="43" customFormat="false" ht="15" hidden="false" customHeight="true" outlineLevel="0" collapsed="false">
      <c r="A43" s="8" t="s">
        <v>62</v>
      </c>
      <c r="B43" s="98" t="n">
        <v>-1.60251882948514</v>
      </c>
      <c r="C43" s="99" t="n">
        <v>-0.895238095238111</v>
      </c>
      <c r="D43" s="133" t="s">
        <v>113</v>
      </c>
      <c r="E43" s="99" t="n">
        <v>-1.68545911017822</v>
      </c>
      <c r="F43" s="99" t="n">
        <v>-1.23055521257766</v>
      </c>
      <c r="G43" s="99" t="n">
        <v>-2.82448038852533</v>
      </c>
      <c r="H43" s="99" t="n">
        <v>-1.78836893443634</v>
      </c>
      <c r="I43" s="99" t="n">
        <v>-0.960546569535328</v>
      </c>
      <c r="J43" s="99" t="n">
        <v>-0.560842902415942</v>
      </c>
      <c r="K43" s="99" t="n">
        <v>-0.689369057908376</v>
      </c>
      <c r="L43" s="99" t="n">
        <v>-1.08454541712968</v>
      </c>
      <c r="M43" s="100" t="n">
        <v>-1.2851463143598</v>
      </c>
      <c r="O43" s="131" t="str">
        <f aca="false">K15</f>
        <v>C054–A011</v>
      </c>
      <c r="P43" s="44"/>
      <c r="Q43" s="60" t="n">
        <f aca="false">AVERAGE(K39:M39)</f>
        <v>-5.17700676352362</v>
      </c>
      <c r="R43" s="60" t="n">
        <f aca="false">Q43-$Q$47</f>
        <v>-4.15731983372434</v>
      </c>
      <c r="S43" s="45" t="n">
        <f aca="false">_xlfn.STDEV.P(K39:M39)</f>
        <v>0.53353626213398</v>
      </c>
      <c r="T43" s="134"/>
      <c r="U43" s="45" t="n">
        <f aca="false">AVERAGE((K39/K26),(L39/L26),(M39/M26))</f>
        <v>-21.5708615146818</v>
      </c>
      <c r="V43" s="60" t="n">
        <f aca="false">-(U43-$U$47)</f>
        <v>17.3221659738514</v>
      </c>
      <c r="W43" s="45" t="n">
        <f aca="false">_xlfn.STDEV.P((K39/K26),(L39/L26),(M39/M26))</f>
        <v>2.22306775889158</v>
      </c>
      <c r="X43" s="134"/>
      <c r="Y43" s="46" t="n">
        <f aca="false">V43/($S$11*$S$12)*1000</f>
        <v>7.8168619015575</v>
      </c>
      <c r="Z43" s="47" t="n">
        <f aca="false">W43/($S$11*$S$12)*1000</f>
        <v>1.00318942188248</v>
      </c>
      <c r="AA43" s="38" t="str">
        <f aca="false">IF(AND(Y43&gt;(Z43*5),Y43&gt;($Y$47/2)),"Hit","")</f>
        <v>Hit</v>
      </c>
      <c r="AB43" s="39" t="str">
        <f aca="false">IF(AND(Y43&gt;(Z43*3),Y43&gt;($Y$47/2)),"Hit","")</f>
        <v>Hit</v>
      </c>
    </row>
    <row r="44" customFormat="false" ht="15" hidden="false" customHeight="true" outlineLevel="0" collapsed="false">
      <c r="O44" s="78" t="str">
        <f aca="false">K16</f>
        <v>C054–A025</v>
      </c>
      <c r="P44" s="26"/>
      <c r="Q44" s="61" t="n">
        <f aca="false">AVERAGE(K40:M40)</f>
        <v>-0.918703269265074</v>
      </c>
      <c r="R44" s="61" t="n">
        <f aca="false">Q44-$Q$47</f>
        <v>0.100983660534211</v>
      </c>
      <c r="S44" s="35" t="n">
        <f aca="false">_xlfn.STDEV.P(K40:M40)</f>
        <v>0.0309773360072067</v>
      </c>
      <c r="T44" s="30"/>
      <c r="U44" s="35" t="n">
        <f aca="false">AVERAGE((K40/K27),(L40/L27),(M40/M27))</f>
        <v>-3.82793028860448</v>
      </c>
      <c r="V44" s="61" t="n">
        <f aca="false">-(U44-$U$47)</f>
        <v>-0.42076525222588</v>
      </c>
      <c r="W44" s="35" t="n">
        <f aca="false">_xlfn.STDEV.P((K40/K27),(L40/L27),(M40/M27))</f>
        <v>0.129072233363361</v>
      </c>
      <c r="X44" s="30"/>
      <c r="Y44" s="36" t="n">
        <f aca="false">V44/($S$11*$S$12)*1000</f>
        <v>-0.189876016347419</v>
      </c>
      <c r="Z44" s="37" t="n">
        <f aca="false">W44/($S$11*$S$12)*1000</f>
        <v>0.0582455926729969</v>
      </c>
      <c r="AA44" s="38" t="str">
        <f aca="false">IF(AND(Y44&gt;(Z44*5),Y44&gt;($Y$47/2)),"Hit","")</f>
        <v/>
      </c>
      <c r="AB44" s="39" t="str">
        <f aca="false">IF(AND(Y44&gt;(Z44*3),Y44&gt;($Y$47/2)),"Hit","")</f>
        <v/>
      </c>
    </row>
    <row r="45" customFormat="false" ht="15" hidden="false" customHeight="true" outlineLevel="0" collapsed="false">
      <c r="B45" s="105"/>
      <c r="C45" s="103" t="s">
        <v>114</v>
      </c>
      <c r="F45" s="135"/>
      <c r="G45" s="0" t="s">
        <v>115</v>
      </c>
      <c r="O45" s="78" t="str">
        <f aca="false">K17</f>
        <v>C054–A030</v>
      </c>
      <c r="P45" s="34"/>
      <c r="Q45" s="61" t="n">
        <f aca="false">AVERAGE(K41:M41)</f>
        <v>-0.763276673389047</v>
      </c>
      <c r="R45" s="61" t="n">
        <f aca="false">Q45-$Q$47</f>
        <v>0.256410256410238</v>
      </c>
      <c r="S45" s="35" t="n">
        <f aca="false">_xlfn.STDEV.P(K41:M41)</f>
        <v>0.056811173074165</v>
      </c>
      <c r="T45" s="35"/>
      <c r="U45" s="35" t="n">
        <f aca="false">AVERAGE((K41/K28),(L41/L28),(M41/M28))</f>
        <v>-3.18031947245436</v>
      </c>
      <c r="V45" s="61" t="n">
        <f aca="false">-(U45-$U$47)</f>
        <v>-1.06837606837599</v>
      </c>
      <c r="W45" s="35" t="n">
        <f aca="false">_xlfn.STDEV.P((K41/K28),(L41/L28),(M41/M28))</f>
        <v>0.236713221142354</v>
      </c>
      <c r="X45" s="35"/>
      <c r="Y45" s="36" t="n">
        <f aca="false">V45/($S$11*$S$12)*1000</f>
        <v>-0.482119164429599</v>
      </c>
      <c r="Z45" s="37" t="n">
        <f aca="false">W45/($S$11*$S$12)*1000</f>
        <v>0.106820045641857</v>
      </c>
      <c r="AA45" s="38" t="str">
        <f aca="false">IF(AND(Y45&gt;(Z45*5),Y45&gt;($Y$47/2)),"Hit","")</f>
        <v/>
      </c>
      <c r="AB45" s="39" t="str">
        <f aca="false">IF(AND(Y45&gt;(Z45*3),Y45&gt;($Y$47/2)),"Hit","")</f>
        <v/>
      </c>
    </row>
    <row r="46" customFormat="false" ht="15" hidden="false" customHeight="true" outlineLevel="0" collapsed="false">
      <c r="B46" s="105" t="s">
        <v>116</v>
      </c>
      <c r="C46" s="105" t="s">
        <v>117</v>
      </c>
      <c r="O46" s="78" t="str">
        <f aca="false">K18</f>
        <v>C054–A036</v>
      </c>
      <c r="P46" s="34"/>
      <c r="Q46" s="61" t="n">
        <f aca="false">AVERAGE(K42:M42)</f>
        <v>-0.663412492625974</v>
      </c>
      <c r="R46" s="61" t="n">
        <f aca="false">Q46-$Q$47</f>
        <v>0.356274437173311</v>
      </c>
      <c r="S46" s="35" t="n">
        <f aca="false">_xlfn.STDEV.P(K42:M42)</f>
        <v>0.0765908457080134</v>
      </c>
      <c r="T46" s="35"/>
      <c r="U46" s="35" t="n">
        <f aca="false">AVERAGE((K42/K29),(L42/L29),(M42/M29))</f>
        <v>-2.76421871927489</v>
      </c>
      <c r="V46" s="61" t="n">
        <f aca="false">-(U46-$U$47)</f>
        <v>-1.48447682155546</v>
      </c>
      <c r="W46" s="35" t="n">
        <f aca="false">_xlfn.STDEV.P((K42/K29),(L42/L29),(M42/M29))</f>
        <v>0.319128523783389</v>
      </c>
      <c r="X46" s="35"/>
      <c r="Y46" s="36" t="n">
        <f aca="false">V46/($S$11*$S$12)*1000</f>
        <v>-0.669890262434775</v>
      </c>
      <c r="Z46" s="37" t="n">
        <f aca="false">W46/($S$11*$S$12)*1000</f>
        <v>0.144011066689255</v>
      </c>
      <c r="AA46" s="38" t="str">
        <f aca="false">IF(AND(Y46&gt;(Z46*5),Y46&gt;($Y$47/2)),"Hit","")</f>
        <v/>
      </c>
      <c r="AB46" s="39" t="str">
        <f aca="false">IF(AND(Y46&gt;(Z46*3),Y46&gt;($Y$47/2)),"Hit","")</f>
        <v/>
      </c>
    </row>
    <row r="47" customFormat="false" ht="15" hidden="false" customHeight="false" outlineLevel="0" collapsed="false">
      <c r="O47" s="107" t="str">
        <f aca="false">K19</f>
        <v>C054 w/o amine</v>
      </c>
      <c r="P47" s="108"/>
      <c r="Q47" s="109" t="n">
        <f aca="false">AVERAGE(K43:M43)</f>
        <v>-1.01968692979929</v>
      </c>
      <c r="R47" s="110"/>
      <c r="S47" s="110" t="n">
        <f aca="false">_xlfn.STDEV.P(K43:M43)</f>
        <v>0.247511080371885</v>
      </c>
      <c r="T47" s="110"/>
      <c r="U47" s="110" t="n">
        <f aca="false">AVERAGE((K43/K30),(L43/L30),(M43/M30))</f>
        <v>-4.24869554083036</v>
      </c>
      <c r="V47" s="110" t="n">
        <f aca="false">-U47</f>
        <v>4.24869554083036</v>
      </c>
      <c r="W47" s="110" t="n">
        <f aca="false">_xlfn.STDEV.P((K43/K30),(L43/L30),(M43/M30))</f>
        <v>1.03129616821619</v>
      </c>
      <c r="X47" s="110"/>
      <c r="Y47" s="110" t="n">
        <f aca="false">V47/($S$11*$S$12)*1000</f>
        <v>1.91728138124114</v>
      </c>
      <c r="Z47" s="111" t="n">
        <f aca="false">W47/($S$11*$S$12)*1000</f>
        <v>0.46538635749828</v>
      </c>
      <c r="AA47" s="38"/>
    </row>
    <row r="48" customFormat="false" ht="15" hidden="false" customHeight="false" outlineLevel="0" collapsed="false">
      <c r="B48" s="39" t="s">
        <v>75</v>
      </c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112"/>
      <c r="Z48" s="112"/>
    </row>
    <row r="49" customFormat="false" ht="15" hidden="false" customHeight="false" outlineLevel="0" collapsed="false"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112"/>
      <c r="Z49" s="112"/>
    </row>
    <row r="50" customFormat="false" ht="15" hidden="false" customHeight="false" outlineLevel="0" collapsed="false"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112"/>
      <c r="Z50" s="112"/>
    </row>
    <row r="51" customFormat="false" ht="15" hidden="false" customHeight="false" outlineLevel="0" collapsed="false"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112"/>
      <c r="Z51" s="112"/>
    </row>
    <row r="52" customFormat="false" ht="15" hidden="false" customHeight="false" outlineLevel="0" collapsed="false">
      <c r="O52" s="113"/>
      <c r="P52" s="34"/>
      <c r="Q52" s="35"/>
      <c r="R52" s="35"/>
      <c r="S52" s="35"/>
      <c r="T52" s="35"/>
      <c r="U52" s="35"/>
      <c r="V52" s="35"/>
      <c r="W52" s="35"/>
      <c r="X52" s="35"/>
      <c r="Y52" s="114"/>
      <c r="Z52" s="114"/>
    </row>
  </sheetData>
  <mergeCells count="41">
    <mergeCell ref="E3:F3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7:D17"/>
    <mergeCell ref="E17:G17"/>
    <mergeCell ref="H17:J17"/>
    <mergeCell ref="K17:M17"/>
    <mergeCell ref="B18:D18"/>
    <mergeCell ref="E18:G18"/>
    <mergeCell ref="H18:J18"/>
    <mergeCell ref="K18:M18"/>
    <mergeCell ref="B19:D19"/>
    <mergeCell ref="E19:G19"/>
    <mergeCell ref="H19:J19"/>
    <mergeCell ref="K19:M19"/>
  </mergeCells>
  <conditionalFormatting sqref="E3">
    <cfRule type="expression" priority="2" aboveAverage="0" equalAverage="0" bottom="0" percent="0" rank="0" text="" dxfId="2">
      <formula>LEN(TRIM(E3))=0</formula>
    </cfRule>
  </conditionalFormatting>
  <conditionalFormatting sqref="E4 E8">
    <cfRule type="expression" priority="3" aboveAverage="0" equalAverage="0" bottom="0" percent="0" rank="0" text="" dxfId="3">
      <formula>LEN(TRIM(E4))=0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2021-03-18T15:08:46Z</dcterms:created>
  <dc:creator>joerg</dc:creator>
  <dc:description/>
  <dc:language>en-US</dc:language>
  <cp:lastModifiedBy/>
  <dcterms:modified xsi:type="dcterms:W3CDTF">2022-07-20T16:01:43Z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