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\Box\screening-data\RobBioRedAm\novel-IREDS\novel-IREDs-initial-screening\templates\"/>
    </mc:Choice>
  </mc:AlternateContent>
  <xr:revisionPtr revIDLastSave="0" documentId="13_ncr:1_{5E43E26F-BEF3-4840-A5F9-FBFDB8B3CB97}" xr6:coauthVersionLast="47" xr6:coauthVersionMax="47" xr10:uidLastSave="{00000000-0000-0000-0000-000000000000}"/>
  <bookViews>
    <workbookView xWindow="-1080" yWindow="4185" windowWidth="16425" windowHeight="10380" tabRatio="500" firstSheet="1" xr2:uid="{00000000-000D-0000-FFFF-FFFF00000000}"/>
  </bookViews>
  <sheets>
    <sheet name="Plate 1" sheetId="1" r:id="rId1"/>
    <sheet name="Plate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1" i="2" l="1"/>
  <c r="U21" i="2"/>
  <c r="V21" i="2"/>
  <c r="Y21" i="2"/>
  <c r="Z21" i="1"/>
  <c r="U27" i="2"/>
  <c r="W16" i="2"/>
  <c r="U16" i="2"/>
  <c r="W22" i="2"/>
  <c r="U22" i="2"/>
  <c r="W16" i="1"/>
  <c r="U16" i="1"/>
  <c r="W47" i="2" l="1"/>
  <c r="Z47" i="2" s="1"/>
  <c r="U47" i="2"/>
  <c r="V47" i="2" s="1"/>
  <c r="Y47" i="2" s="1"/>
  <c r="S47" i="2"/>
  <c r="Q47" i="2"/>
  <c r="O47" i="2"/>
  <c r="W46" i="2"/>
  <c r="Z46" i="2" s="1"/>
  <c r="U46" i="2"/>
  <c r="V46" i="2" s="1"/>
  <c r="Y46" i="2" s="1"/>
  <c r="S46" i="2"/>
  <c r="Q46" i="2"/>
  <c r="R46" i="2" s="1"/>
  <c r="O46" i="2"/>
  <c r="W45" i="2"/>
  <c r="Z45" i="2" s="1"/>
  <c r="U45" i="2"/>
  <c r="V45" i="2" s="1"/>
  <c r="Y45" i="2" s="1"/>
  <c r="S45" i="2"/>
  <c r="Q45" i="2"/>
  <c r="R45" i="2" s="1"/>
  <c r="O45" i="2"/>
  <c r="W44" i="2"/>
  <c r="Z44" i="2" s="1"/>
  <c r="U44" i="2"/>
  <c r="V44" i="2" s="1"/>
  <c r="Y44" i="2" s="1"/>
  <c r="S44" i="2"/>
  <c r="Q44" i="2"/>
  <c r="R44" i="2" s="1"/>
  <c r="O44" i="2"/>
  <c r="W43" i="2"/>
  <c r="Z43" i="2" s="1"/>
  <c r="U43" i="2"/>
  <c r="V43" i="2" s="1"/>
  <c r="Y43" i="2" s="1"/>
  <c r="S43" i="2"/>
  <c r="Q43" i="2"/>
  <c r="R43" i="2" s="1"/>
  <c r="O43" i="2"/>
  <c r="W42" i="2"/>
  <c r="Z42" i="2" s="1"/>
  <c r="U42" i="2"/>
  <c r="V42" i="2" s="1"/>
  <c r="Y42" i="2" s="1"/>
  <c r="S42" i="2"/>
  <c r="Q42" i="2"/>
  <c r="R42" i="2" s="1"/>
  <c r="O42" i="2"/>
  <c r="W41" i="2"/>
  <c r="Z41" i="2" s="1"/>
  <c r="U41" i="2"/>
  <c r="V41" i="2" s="1"/>
  <c r="Y41" i="2" s="1"/>
  <c r="S41" i="2"/>
  <c r="Q41" i="2"/>
  <c r="R41" i="2" s="1"/>
  <c r="O41" i="2"/>
  <c r="W40" i="2"/>
  <c r="Z40" i="2" s="1"/>
  <c r="U40" i="2"/>
  <c r="V40" i="2" s="1"/>
  <c r="Y40" i="2" s="1"/>
  <c r="S40" i="2"/>
  <c r="Q40" i="2"/>
  <c r="R40" i="2" s="1"/>
  <c r="O40" i="2"/>
  <c r="W39" i="2"/>
  <c r="Z39" i="2" s="1"/>
  <c r="U39" i="2"/>
  <c r="V39" i="2" s="1"/>
  <c r="Y39" i="2" s="1"/>
  <c r="S39" i="2"/>
  <c r="Q39" i="2"/>
  <c r="O39" i="2"/>
  <c r="W38" i="2"/>
  <c r="Z38" i="2" s="1"/>
  <c r="U38" i="2"/>
  <c r="S38" i="2"/>
  <c r="Q38" i="2"/>
  <c r="O38" i="2"/>
  <c r="W37" i="2"/>
  <c r="Z37" i="2" s="1"/>
  <c r="U37" i="2"/>
  <c r="S37" i="2"/>
  <c r="Q37" i="2"/>
  <c r="O37" i="2"/>
  <c r="W36" i="2"/>
  <c r="Z36" i="2" s="1"/>
  <c r="U36" i="2"/>
  <c r="S36" i="2"/>
  <c r="Q36" i="2"/>
  <c r="O36" i="2"/>
  <c r="W35" i="2"/>
  <c r="Z35" i="2" s="1"/>
  <c r="U35" i="2"/>
  <c r="S35" i="2"/>
  <c r="Q35" i="2"/>
  <c r="O35" i="2"/>
  <c r="W34" i="2"/>
  <c r="Z34" i="2" s="1"/>
  <c r="U34" i="2"/>
  <c r="S34" i="2"/>
  <c r="Q34" i="2"/>
  <c r="R34" i="2" s="1"/>
  <c r="O34" i="2"/>
  <c r="W33" i="2"/>
  <c r="Z33" i="2" s="1"/>
  <c r="U33" i="2"/>
  <c r="S33" i="2"/>
  <c r="Q33" i="2"/>
  <c r="O33" i="2"/>
  <c r="W32" i="2"/>
  <c r="Z32" i="2" s="1"/>
  <c r="U32" i="2"/>
  <c r="S32" i="2"/>
  <c r="Q32" i="2"/>
  <c r="O32" i="2"/>
  <c r="W31" i="2"/>
  <c r="Z31" i="2" s="1"/>
  <c r="U31" i="2"/>
  <c r="V31" i="2" s="1"/>
  <c r="Y31" i="2" s="1"/>
  <c r="S31" i="2"/>
  <c r="Q31" i="2"/>
  <c r="O31" i="2"/>
  <c r="W30" i="2"/>
  <c r="Z30" i="2" s="1"/>
  <c r="U30" i="2"/>
  <c r="S30" i="2"/>
  <c r="Q30" i="2"/>
  <c r="O30" i="2"/>
  <c r="W29" i="2"/>
  <c r="Z29" i="2" s="1"/>
  <c r="U29" i="2"/>
  <c r="S29" i="2"/>
  <c r="Q29" i="2"/>
  <c r="O29" i="2"/>
  <c r="W28" i="2"/>
  <c r="Z28" i="2" s="1"/>
  <c r="U28" i="2"/>
  <c r="S28" i="2"/>
  <c r="Q28" i="2"/>
  <c r="O28" i="2"/>
  <c r="W27" i="2"/>
  <c r="Z27" i="2" s="1"/>
  <c r="S27" i="2"/>
  <c r="Q27" i="2"/>
  <c r="O27" i="2"/>
  <c r="W26" i="2"/>
  <c r="Z26" i="2" s="1"/>
  <c r="U26" i="2"/>
  <c r="S26" i="2"/>
  <c r="Q26" i="2"/>
  <c r="O26" i="2"/>
  <c r="W25" i="2"/>
  <c r="Z25" i="2" s="1"/>
  <c r="U25" i="2"/>
  <c r="S25" i="2"/>
  <c r="Q25" i="2"/>
  <c r="O25" i="2"/>
  <c r="W24" i="2"/>
  <c r="Z24" i="2" s="1"/>
  <c r="U24" i="2"/>
  <c r="S24" i="2"/>
  <c r="Q24" i="2"/>
  <c r="O24" i="2"/>
  <c r="W23" i="2"/>
  <c r="Z23" i="2" s="1"/>
  <c r="U23" i="2"/>
  <c r="S23" i="2"/>
  <c r="Q23" i="2"/>
  <c r="O23" i="2"/>
  <c r="Z22" i="2"/>
  <c r="S22" i="2"/>
  <c r="Q22" i="2"/>
  <c r="O22" i="2"/>
  <c r="Z21" i="2"/>
  <c r="S21" i="2"/>
  <c r="Q21" i="2"/>
  <c r="O21" i="2"/>
  <c r="W20" i="2"/>
  <c r="Z20" i="2" s="1"/>
  <c r="U20" i="2"/>
  <c r="S20" i="2"/>
  <c r="Q20" i="2"/>
  <c r="O20" i="2"/>
  <c r="W19" i="2"/>
  <c r="Z19" i="2" s="1"/>
  <c r="U19" i="2"/>
  <c r="S19" i="2"/>
  <c r="Q19" i="2"/>
  <c r="R19" i="2" s="1"/>
  <c r="O19" i="2"/>
  <c r="W18" i="2"/>
  <c r="Z18" i="2" s="1"/>
  <c r="U18" i="2"/>
  <c r="S18" i="2"/>
  <c r="Q18" i="2"/>
  <c r="O18" i="2"/>
  <c r="W17" i="2"/>
  <c r="Z17" i="2" s="1"/>
  <c r="U17" i="2"/>
  <c r="S17" i="2"/>
  <c r="Q17" i="2"/>
  <c r="O17" i="2"/>
  <c r="Z16" i="2"/>
  <c r="S16" i="2"/>
  <c r="Q16" i="2"/>
  <c r="O16" i="2"/>
  <c r="W47" i="1"/>
  <c r="Z47" i="1" s="1"/>
  <c r="U47" i="1"/>
  <c r="V47" i="1" s="1"/>
  <c r="Y47" i="1" s="1"/>
  <c r="S47" i="1"/>
  <c r="Q47" i="1"/>
  <c r="O47" i="1"/>
  <c r="W46" i="1"/>
  <c r="Z46" i="1" s="1"/>
  <c r="U46" i="1"/>
  <c r="S46" i="1"/>
  <c r="Q46" i="1"/>
  <c r="O46" i="1"/>
  <c r="W45" i="1"/>
  <c r="Z45" i="1" s="1"/>
  <c r="U45" i="1"/>
  <c r="V45" i="1" s="1"/>
  <c r="Y45" i="1" s="1"/>
  <c r="S45" i="1"/>
  <c r="Q45" i="1"/>
  <c r="R45" i="1" s="1"/>
  <c r="O45" i="1"/>
  <c r="W44" i="1"/>
  <c r="Z44" i="1" s="1"/>
  <c r="U44" i="1"/>
  <c r="S44" i="1"/>
  <c r="Q44" i="1"/>
  <c r="R44" i="1" s="1"/>
  <c r="O44" i="1"/>
  <c r="W43" i="1"/>
  <c r="Z43" i="1" s="1"/>
  <c r="U43" i="1"/>
  <c r="V43" i="1" s="1"/>
  <c r="Y43" i="1" s="1"/>
  <c r="S43" i="1"/>
  <c r="Q43" i="1"/>
  <c r="R43" i="1" s="1"/>
  <c r="O43" i="1"/>
  <c r="W42" i="1"/>
  <c r="Z42" i="1" s="1"/>
  <c r="U42" i="1"/>
  <c r="S42" i="1"/>
  <c r="Q42" i="1"/>
  <c r="R42" i="1" s="1"/>
  <c r="O42" i="1"/>
  <c r="W41" i="1"/>
  <c r="Z41" i="1" s="1"/>
  <c r="U41" i="1"/>
  <c r="V41" i="1" s="1"/>
  <c r="Y41" i="1" s="1"/>
  <c r="S41" i="1"/>
  <c r="Q41" i="1"/>
  <c r="R41" i="1" s="1"/>
  <c r="O41" i="1"/>
  <c r="W40" i="1"/>
  <c r="Z40" i="1" s="1"/>
  <c r="U40" i="1"/>
  <c r="S40" i="1"/>
  <c r="Q40" i="1"/>
  <c r="R40" i="1" s="1"/>
  <c r="O40" i="1"/>
  <c r="W39" i="1"/>
  <c r="Z39" i="1" s="1"/>
  <c r="U39" i="1"/>
  <c r="V39" i="1" s="1"/>
  <c r="Y39" i="1" s="1"/>
  <c r="S39" i="1"/>
  <c r="Q39" i="1"/>
  <c r="O39" i="1"/>
  <c r="W38" i="1"/>
  <c r="Z38" i="1" s="1"/>
  <c r="U38" i="1"/>
  <c r="S38" i="1"/>
  <c r="Q38" i="1"/>
  <c r="O38" i="1"/>
  <c r="W37" i="1"/>
  <c r="Z37" i="1" s="1"/>
  <c r="U37" i="1"/>
  <c r="S37" i="1"/>
  <c r="Q37" i="1"/>
  <c r="O37" i="1"/>
  <c r="W36" i="1"/>
  <c r="Z36" i="1" s="1"/>
  <c r="U36" i="1"/>
  <c r="S36" i="1"/>
  <c r="Q36" i="1"/>
  <c r="O36" i="1"/>
  <c r="W35" i="1"/>
  <c r="Z35" i="1" s="1"/>
  <c r="U35" i="1"/>
  <c r="S35" i="1"/>
  <c r="Q35" i="1"/>
  <c r="O35" i="1"/>
  <c r="W34" i="1"/>
  <c r="Z34" i="1" s="1"/>
  <c r="U34" i="1"/>
  <c r="S34" i="1"/>
  <c r="Q34" i="1"/>
  <c r="O34" i="1"/>
  <c r="W33" i="1"/>
  <c r="Z33" i="1" s="1"/>
  <c r="U33" i="1"/>
  <c r="S33" i="1"/>
  <c r="Q33" i="1"/>
  <c r="O33" i="1"/>
  <c r="W32" i="1"/>
  <c r="Z32" i="1" s="1"/>
  <c r="U32" i="1"/>
  <c r="S32" i="1"/>
  <c r="Q32" i="1"/>
  <c r="O32" i="1"/>
  <c r="W31" i="1"/>
  <c r="Z31" i="1" s="1"/>
  <c r="U31" i="1"/>
  <c r="S31" i="1"/>
  <c r="Q31" i="1"/>
  <c r="O31" i="1"/>
  <c r="W30" i="1"/>
  <c r="Z30" i="1" s="1"/>
  <c r="U30" i="1"/>
  <c r="S30" i="1"/>
  <c r="Q30" i="1"/>
  <c r="R30" i="1" s="1"/>
  <c r="O30" i="1"/>
  <c r="W29" i="1"/>
  <c r="Z29" i="1" s="1"/>
  <c r="U29" i="1"/>
  <c r="S29" i="1"/>
  <c r="Q29" i="1"/>
  <c r="R29" i="1" s="1"/>
  <c r="O29" i="1"/>
  <c r="W28" i="1"/>
  <c r="Z28" i="1" s="1"/>
  <c r="U28" i="1"/>
  <c r="S28" i="1"/>
  <c r="Q28" i="1"/>
  <c r="O28" i="1"/>
  <c r="W27" i="1"/>
  <c r="Z27" i="1" s="1"/>
  <c r="U27" i="1"/>
  <c r="S27" i="1"/>
  <c r="Q27" i="1"/>
  <c r="R27" i="1" s="1"/>
  <c r="O27" i="1"/>
  <c r="W26" i="1"/>
  <c r="Z26" i="1" s="1"/>
  <c r="U26" i="1"/>
  <c r="S26" i="1"/>
  <c r="Q26" i="1"/>
  <c r="R26" i="1" s="1"/>
  <c r="O26" i="1"/>
  <c r="W25" i="1"/>
  <c r="Z25" i="1" s="1"/>
  <c r="U25" i="1"/>
  <c r="S25" i="1"/>
  <c r="Q25" i="1"/>
  <c r="R25" i="1" s="1"/>
  <c r="O25" i="1"/>
  <c r="W24" i="1"/>
  <c r="Z24" i="1" s="1"/>
  <c r="U24" i="1"/>
  <c r="S24" i="1"/>
  <c r="Q24" i="1"/>
  <c r="R24" i="1" s="1"/>
  <c r="O24" i="1"/>
  <c r="W23" i="1"/>
  <c r="Z23" i="1" s="1"/>
  <c r="U23" i="1"/>
  <c r="S23" i="1"/>
  <c r="Q23" i="1"/>
  <c r="O23" i="1"/>
  <c r="W22" i="1"/>
  <c r="Z22" i="1" s="1"/>
  <c r="U22" i="1"/>
  <c r="S22" i="1"/>
  <c r="Q22" i="1"/>
  <c r="O22" i="1"/>
  <c r="W21" i="1"/>
  <c r="U21" i="1"/>
  <c r="S21" i="1"/>
  <c r="Q21" i="1"/>
  <c r="O21" i="1"/>
  <c r="W20" i="1"/>
  <c r="Z20" i="1" s="1"/>
  <c r="U20" i="1"/>
  <c r="S20" i="1"/>
  <c r="Q20" i="1"/>
  <c r="O20" i="1"/>
  <c r="W19" i="1"/>
  <c r="Z19" i="1" s="1"/>
  <c r="U19" i="1"/>
  <c r="S19" i="1"/>
  <c r="Q19" i="1"/>
  <c r="O19" i="1"/>
  <c r="W18" i="1"/>
  <c r="Z18" i="1" s="1"/>
  <c r="U18" i="1"/>
  <c r="S18" i="1"/>
  <c r="Q18" i="1"/>
  <c r="O18" i="1"/>
  <c r="W17" i="1"/>
  <c r="Z17" i="1" s="1"/>
  <c r="U17" i="1"/>
  <c r="S17" i="1"/>
  <c r="Q17" i="1"/>
  <c r="R17" i="1" s="1"/>
  <c r="O17" i="1"/>
  <c r="Z16" i="1"/>
  <c r="S16" i="1"/>
  <c r="Q16" i="1"/>
  <c r="O16" i="1"/>
  <c r="R17" i="2" l="1"/>
  <c r="R29" i="2"/>
  <c r="R24" i="2"/>
  <c r="R27" i="2"/>
  <c r="R37" i="2"/>
  <c r="R32" i="2"/>
  <c r="R30" i="2"/>
  <c r="R22" i="2"/>
  <c r="R35" i="2"/>
  <c r="R28" i="2"/>
  <c r="R26" i="2"/>
  <c r="R38" i="2"/>
  <c r="R21" i="2"/>
  <c r="R33" i="2"/>
  <c r="R20" i="2"/>
  <c r="R16" i="2"/>
  <c r="R18" i="2"/>
  <c r="R25" i="2"/>
  <c r="R36" i="2"/>
  <c r="V17" i="2"/>
  <c r="Y17" i="2" s="1"/>
  <c r="V19" i="2"/>
  <c r="Y19" i="2" s="1"/>
  <c r="V26" i="2"/>
  <c r="Y26" i="2" s="1"/>
  <c r="AA26" i="2" s="1"/>
  <c r="V29" i="2"/>
  <c r="Y29" i="2" s="1"/>
  <c r="AB29" i="2" s="1"/>
  <c r="V27" i="2"/>
  <c r="V35" i="2"/>
  <c r="Y35" i="2" s="1"/>
  <c r="V20" i="2"/>
  <c r="Y20" i="2" s="1"/>
  <c r="V33" i="2"/>
  <c r="Y33" i="2" s="1"/>
  <c r="AA33" i="2" s="1"/>
  <c r="V16" i="2"/>
  <c r="Y16" i="2" s="1"/>
  <c r="V38" i="2"/>
  <c r="Y38" i="2" s="1"/>
  <c r="AB38" i="2" s="1"/>
  <c r="V36" i="2"/>
  <c r="Y36" i="2" s="1"/>
  <c r="AB36" i="2" s="1"/>
  <c r="V34" i="2"/>
  <c r="Y34" i="2" s="1"/>
  <c r="AA34" i="2" s="1"/>
  <c r="V32" i="2"/>
  <c r="Y32" i="2" s="1"/>
  <c r="AA32" i="2" s="1"/>
  <c r="V37" i="2"/>
  <c r="Y37" i="2" s="1"/>
  <c r="AB37" i="2" s="1"/>
  <c r="V28" i="2"/>
  <c r="Y28" i="2" s="1"/>
  <c r="AB28" i="2" s="1"/>
  <c r="V24" i="2"/>
  <c r="Y24" i="2" s="1"/>
  <c r="V30" i="2"/>
  <c r="Y30" i="2" s="1"/>
  <c r="AB30" i="2" s="1"/>
  <c r="AB45" i="2"/>
  <c r="V18" i="2"/>
  <c r="Y18" i="2" s="1"/>
  <c r="V25" i="2"/>
  <c r="Y25" i="2" s="1"/>
  <c r="AA25" i="2" s="1"/>
  <c r="R20" i="1"/>
  <c r="R21" i="1"/>
  <c r="R46" i="1"/>
  <c r="R16" i="1"/>
  <c r="R19" i="1"/>
  <c r="R32" i="1"/>
  <c r="R35" i="1"/>
  <c r="R38" i="1"/>
  <c r="R34" i="1"/>
  <c r="R28" i="1"/>
  <c r="R22" i="1"/>
  <c r="R18" i="1"/>
  <c r="R33" i="1"/>
  <c r="V21" i="1"/>
  <c r="Y21" i="1" s="1"/>
  <c r="V42" i="1"/>
  <c r="Y42" i="1" s="1"/>
  <c r="V44" i="1"/>
  <c r="Y44" i="1" s="1"/>
  <c r="AA44" i="1" s="1"/>
  <c r="V46" i="1"/>
  <c r="Y46" i="1" s="1"/>
  <c r="AA46" i="1" s="1"/>
  <c r="V32" i="1"/>
  <c r="Y32" i="1" s="1"/>
  <c r="AB32" i="1" s="1"/>
  <c r="V19" i="1"/>
  <c r="Y19" i="1" s="1"/>
  <c r="V28" i="1"/>
  <c r="Y28" i="1" s="1"/>
  <c r="V17" i="1"/>
  <c r="Y17" i="1" s="1"/>
  <c r="V26" i="1"/>
  <c r="Y26" i="1" s="1"/>
  <c r="V24" i="1"/>
  <c r="Y24" i="1" s="1"/>
  <c r="V33" i="1"/>
  <c r="Y33" i="1" s="1"/>
  <c r="AB33" i="1" s="1"/>
  <c r="V40" i="1"/>
  <c r="Y40" i="1" s="1"/>
  <c r="AB40" i="1" s="1"/>
  <c r="V22" i="1"/>
  <c r="Y22" i="1" s="1"/>
  <c r="V29" i="1"/>
  <c r="Y29" i="1" s="1"/>
  <c r="V36" i="1"/>
  <c r="Y36" i="1" s="1"/>
  <c r="AA36" i="1" s="1"/>
  <c r="V16" i="1"/>
  <c r="Y16" i="1" s="1"/>
  <c r="V25" i="1"/>
  <c r="Y25" i="1" s="1"/>
  <c r="V27" i="1"/>
  <c r="Y27" i="1" s="1"/>
  <c r="V34" i="1"/>
  <c r="Y34" i="1" s="1"/>
  <c r="AA34" i="1" s="1"/>
  <c r="AB41" i="1"/>
  <c r="V18" i="1"/>
  <c r="Y18" i="1" s="1"/>
  <c r="V30" i="1"/>
  <c r="Y30" i="1" s="1"/>
  <c r="V37" i="1"/>
  <c r="Y37" i="1" s="1"/>
  <c r="AB37" i="1" s="1"/>
  <c r="V35" i="1"/>
  <c r="Y35" i="1" s="1"/>
  <c r="AB35" i="1" s="1"/>
  <c r="V38" i="1"/>
  <c r="Y38" i="1" s="1"/>
  <c r="AB38" i="1" s="1"/>
  <c r="AB42" i="1"/>
  <c r="AA42" i="1"/>
  <c r="AB40" i="2"/>
  <c r="AA40" i="2"/>
  <c r="AB42" i="2"/>
  <c r="AA42" i="2"/>
  <c r="AB44" i="2"/>
  <c r="AA44" i="2"/>
  <c r="AB46" i="2"/>
  <c r="AA46" i="2"/>
  <c r="AB35" i="2"/>
  <c r="AA35" i="2"/>
  <c r="AA30" i="2"/>
  <c r="AB41" i="2"/>
  <c r="AA41" i="2"/>
  <c r="AB43" i="2"/>
  <c r="AA43" i="2"/>
  <c r="AB43" i="1"/>
  <c r="AA43" i="1"/>
  <c r="AA38" i="2"/>
  <c r="AA45" i="1"/>
  <c r="AB45" i="1"/>
  <c r="V23" i="1"/>
  <c r="Y23" i="1" s="1"/>
  <c r="V31" i="1"/>
  <c r="Y31" i="1" s="1"/>
  <c r="R37" i="1"/>
  <c r="AA41" i="1"/>
  <c r="AA36" i="2"/>
  <c r="AA45" i="2"/>
  <c r="R36" i="1"/>
  <c r="V23" i="2"/>
  <c r="Y23" i="2" s="1"/>
  <c r="V22" i="2"/>
  <c r="Y22" i="2" s="1"/>
  <c r="V20" i="1"/>
  <c r="Y20" i="1" s="1"/>
  <c r="Y27" i="2" l="1"/>
  <c r="AB27" i="2" s="1"/>
  <c r="AA22" i="2"/>
  <c r="AB22" i="2"/>
  <c r="AA18" i="2"/>
  <c r="AB18" i="2"/>
  <c r="AA24" i="2"/>
  <c r="AB24" i="2"/>
  <c r="AA21" i="2"/>
  <c r="AB21" i="2"/>
  <c r="AA20" i="2"/>
  <c r="AB20" i="2"/>
  <c r="AA19" i="2"/>
  <c r="AB19" i="2"/>
  <c r="AA17" i="2"/>
  <c r="AB17" i="2"/>
  <c r="AA32" i="1"/>
  <c r="AB44" i="1"/>
  <c r="AB16" i="2"/>
  <c r="AA16" i="2"/>
  <c r="AB33" i="2"/>
  <c r="AB25" i="2"/>
  <c r="AB26" i="2"/>
  <c r="AA29" i="2"/>
  <c r="AA27" i="2"/>
  <c r="AB34" i="2"/>
  <c r="AA37" i="2"/>
  <c r="AA28" i="2"/>
  <c r="AB32" i="2"/>
  <c r="AB46" i="1"/>
  <c r="AA38" i="1"/>
  <c r="AA26" i="1"/>
  <c r="AB36" i="1"/>
  <c r="AB34" i="1"/>
  <c r="AB24" i="1"/>
  <c r="AB17" i="1"/>
  <c r="AA33" i="1"/>
  <c r="AA35" i="1"/>
  <c r="AA40" i="1"/>
  <c r="AA24" i="1"/>
  <c r="AA37" i="1"/>
  <c r="AA30" i="1"/>
  <c r="AB30" i="1"/>
  <c r="AA18" i="1"/>
  <c r="AB18" i="1"/>
  <c r="AA16" i="1"/>
  <c r="AA28" i="1"/>
  <c r="AB27" i="1"/>
  <c r="AA25" i="1"/>
  <c r="AB16" i="1"/>
  <c r="AB28" i="1"/>
  <c r="AA27" i="1"/>
  <c r="AB25" i="1"/>
  <c r="AA19" i="1"/>
  <c r="AA17" i="1"/>
  <c r="AA29" i="1"/>
  <c r="AB26" i="1"/>
  <c r="AB20" i="1"/>
  <c r="AA20" i="1"/>
  <c r="AB19" i="1"/>
  <c r="AB29" i="1"/>
</calcChain>
</file>

<file path=xl/sharedStrings.xml><?xml version="1.0" encoding="utf-8"?>
<sst xmlns="http://schemas.openxmlformats.org/spreadsheetml/2006/main" count="201" uniqueCount="111">
  <si>
    <r>
      <rPr>
        <b/>
        <sz val="14"/>
        <color rgb="FF325596"/>
        <rFont val="Calibri"/>
        <family val="2"/>
        <charset val="1"/>
      </rPr>
      <t>BioRedAm Activity Assay</t>
    </r>
    <r>
      <rPr>
        <b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>| Spectrophotometric Determination of NADPH Consumption</t>
    </r>
  </si>
  <si>
    <t>Enzyme:</t>
  </si>
  <si>
    <t>IR00261</t>
  </si>
  <si>
    <t>Assay Method:</t>
  </si>
  <si>
    <t>photometric, robotic pipetting</t>
  </si>
  <si>
    <t>Assay Conditions:</t>
  </si>
  <si>
    <t>50 mM carbonyl compound, 50 mM amine (exception: A001, 500 mM), 2 mM NADPH, 1 mg/mL IRED (crude lysate), 10% (v/v) DMSO, bicine–NaOH buffer (100 mM, pH 8.0)</t>
  </si>
  <si>
    <t>Instrument Settings:</t>
  </si>
  <si>
    <t>FLUOstar Omega plate reader; wavelength 370 nm; 30 °C, 1 h, measurement interval 30 s, pathlength mean of previous inital screening pathlenghts</t>
  </si>
  <si>
    <t>Lab Journal Code:</t>
  </si>
  <si>
    <t>GRC-GD-099</t>
  </si>
  <si>
    <t>Experiment Date:</t>
  </si>
  <si>
    <t>Plate Layout:</t>
  </si>
  <si>
    <t>Analysis:</t>
  </si>
  <si>
    <r>
      <rPr>
        <b/>
        <i/>
        <sz val="11"/>
        <color rgb="FF000000"/>
        <rFont val="Calibri"/>
        <family val="2"/>
        <charset val="1"/>
      </rPr>
      <t>ε</t>
    </r>
    <r>
      <rPr>
        <b/>
        <vertAlign val="subscript"/>
        <sz val="11"/>
        <color rgb="FF000000"/>
        <rFont val="Calibri"/>
        <family val="2"/>
        <charset val="1"/>
      </rPr>
      <t>370</t>
    </r>
    <r>
      <rPr>
        <b/>
        <sz val="11"/>
        <color rgb="FF000000"/>
        <rFont val="Calibri"/>
        <family val="2"/>
        <charset val="1"/>
      </rPr>
      <t>(NADPH) [M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</si>
  <si>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A</t>
  </si>
  <si>
    <t>C122–A001</t>
  </si>
  <si>
    <t>C003–A001</t>
  </si>
  <si>
    <t>C067–A001</t>
  </si>
  <si>
    <t>C042–A001</t>
  </si>
  <si>
    <r>
      <rPr>
        <b/>
        <i/>
        <sz val="11"/>
        <color rgb="FF000000"/>
        <rFont val="Calibri"/>
        <family val="2"/>
        <charset val="1"/>
      </rPr>
      <t>c</t>
    </r>
    <r>
      <rPr>
        <b/>
        <sz val="11"/>
        <color rgb="FF000000"/>
        <rFont val="Calibri"/>
        <family val="2"/>
        <charset val="1"/>
      </rPr>
      <t>(lysate) [mg mL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</si>
  <si>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B</t>
  </si>
  <si>
    <t>C122–A002</t>
  </si>
  <si>
    <t>C003–A002</t>
  </si>
  <si>
    <t>C067–A002</t>
  </si>
  <si>
    <t>C042–A002</t>
  </si>
  <si>
    <t>C</t>
  </si>
  <si>
    <t>C122–A006</t>
  </si>
  <si>
    <t>C003–A006</t>
  </si>
  <si>
    <t>C067–A006</t>
  </si>
  <si>
    <t>C042–A006</t>
  </si>
  <si>
    <t>substrate combination</t>
  </si>
  <si>
    <r>
      <rPr>
        <b/>
        <sz val="11"/>
        <color rgb="FFFFFFFF"/>
        <rFont val="Calibri"/>
        <family val="2"/>
        <charset val="1"/>
      </rPr>
      <t>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</si>
  <si>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norm. 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 xml:space="preserve"> cm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</si>
  <si>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activity [mU mg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</si>
  <si>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t>Hit Finder</t>
  </si>
  <si>
    <t>D</t>
  </si>
  <si>
    <t>C122–A011</t>
  </si>
  <si>
    <t>C003–A011</t>
  </si>
  <si>
    <t>C067–A011</t>
  </si>
  <si>
    <t>C042–A011</t>
  </si>
  <si>
    <t>mean</t>
  </si>
  <si>
    <r>
      <rPr>
        <i/>
        <sz val="11"/>
        <color rgb="FFFFFFFF"/>
        <rFont val="Calibri"/>
        <family val="2"/>
        <charset val="1"/>
      </rPr>
      <t>mean</t>
    </r>
    <r>
      <rPr>
        <i/>
        <vertAlign val="subscript"/>
        <sz val="11"/>
        <color rgb="FFFFFFFF"/>
        <rFont val="Calibri"/>
        <family val="2"/>
        <charset val="1"/>
      </rPr>
      <t>corr</t>
    </r>
  </si>
  <si>
    <t>SD</t>
  </si>
  <si>
    <t>5 SD</t>
  </si>
  <si>
    <t>3 SD</t>
  </si>
  <si>
    <t>E</t>
  </si>
  <si>
    <t>C122–A025</t>
  </si>
  <si>
    <t>C003–A025</t>
  </si>
  <si>
    <t>C067–A025</t>
  </si>
  <si>
    <t>C042–A025</t>
  </si>
  <si>
    <t>F</t>
  </si>
  <si>
    <t>C122–A030</t>
  </si>
  <si>
    <t>C003–A030</t>
  </si>
  <si>
    <t>C067–A030</t>
  </si>
  <si>
    <t>C042–A030</t>
  </si>
  <si>
    <t>G</t>
  </si>
  <si>
    <t>C122–A036</t>
  </si>
  <si>
    <t>C003–A036</t>
  </si>
  <si>
    <t>C067–A036</t>
  </si>
  <si>
    <t>C042–A036</t>
  </si>
  <si>
    <t>H</t>
  </si>
  <si>
    <t>C122 w/o amine</t>
  </si>
  <si>
    <t>C003 w/o amine</t>
  </si>
  <si>
    <t>C067 w/o amine</t>
  </si>
  <si>
    <t>C042 w/o amine</t>
  </si>
  <si>
    <t>PathCheck Data:</t>
  </si>
  <si>
    <t>pathlength [cm]</t>
  </si>
  <si>
    <t>erroneous PathCheck reading due to precipitation –&gt; standard value (0.24) used</t>
  </si>
  <si>
    <t>Kinetic Data:</t>
  </si>
  <si>
    <t>max. absorbance change [mAU/min]</t>
  </si>
  <si>
    <t>x</t>
  </si>
  <si>
    <t>artifact method</t>
  </si>
  <si>
    <t>outlier</t>
  </si>
  <si>
    <t>manual fit required</t>
  </si>
  <si>
    <t>(rest)</t>
  </si>
  <si>
    <t>slower reactions: Vmax over 30 data points, initial 600 sec discarded</t>
  </si>
  <si>
    <t>INSERT IMAGE OF KINETIC CURVES HERE</t>
  </si>
  <si>
    <t>GRC-GD-124</t>
  </si>
  <si>
    <t>C093–A001</t>
  </si>
  <si>
    <t>C028–A001</t>
  </si>
  <si>
    <t>C037–A001</t>
  </si>
  <si>
    <t>C054–A001</t>
  </si>
  <si>
    <t>C093–A002</t>
  </si>
  <si>
    <t>C028–A002</t>
  </si>
  <si>
    <t>C037–A002</t>
  </si>
  <si>
    <t>C054–A002</t>
  </si>
  <si>
    <t>C093–A006</t>
  </si>
  <si>
    <t>C028–A006</t>
  </si>
  <si>
    <t>C037–A006</t>
  </si>
  <si>
    <t>C054–A006</t>
  </si>
  <si>
    <t>C093–A011</t>
  </si>
  <si>
    <t>C028–A011</t>
  </si>
  <si>
    <t>C037–A011</t>
  </si>
  <si>
    <t>C054–A011</t>
  </si>
  <si>
    <t>C093–A025</t>
  </si>
  <si>
    <t>C028–A025</t>
  </si>
  <si>
    <t>C037–A025</t>
  </si>
  <si>
    <t>C054–A025</t>
  </si>
  <si>
    <t>C093–A030</t>
  </si>
  <si>
    <t>C028–A030</t>
  </si>
  <si>
    <t>C037–A030</t>
  </si>
  <si>
    <t>C054–A030</t>
  </si>
  <si>
    <t>C093–A036</t>
  </si>
  <si>
    <t>C028–A036</t>
  </si>
  <si>
    <t>C037–A036</t>
  </si>
  <si>
    <t>C054–A036</t>
  </si>
  <si>
    <t>C093 w/o amine</t>
  </si>
  <si>
    <t>C028 w/o amine</t>
  </si>
  <si>
    <t>C037 w/o amine</t>
  </si>
  <si>
    <t>C054 w/o 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</si>
</sst>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rgb="FF000000"/>
      <name val="Calibri"/>
      <family val="2"/>
      <charset val="1"/>
    </font>
    <font>
      <b/>
      <sz val="14"/>
      <color rgb="FF325596"/>
      <name val="Calibri"/>
      <family val="2"/>
      <charset val="1"/>
    </font>
    <font>
      <b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/>
      <sz val="11"/>
      <color rgb="FF325596"/>
      <name val="Calibri"/>
      <family val="2"/>
      <charset val="1"/>
    </font>
    <font>
      <b/>
      <sz val="11"/>
      <color rgb="FF0D27A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  <font>
      <i/>
      <vertAlign val="subscript"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73AA3C"/>
      <name val="Calibri"/>
      <family val="2"/>
      <charset val="1"/>
    </font>
    <font>
      <b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11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E3F0D6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3F0D6"/>
      </patternFill>
    </fill>
    <fill>
      <patternFill patternType="solid">
        <fgColor rgb="FFE3F0D6"/>
        <bgColor rgb="FFF2F2F2"/>
      </patternFill>
    </fill>
    <fill>
      <patternFill patternType="solid">
        <fgColor rgb="FFFDBCBC"/>
        <bgColor rgb="FFFF99CC"/>
      </patternFill>
    </fill>
    <fill>
      <patternFill patternType="solid">
        <fgColor rgb="FFFFEBC9"/>
        <b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6" fillId="0" borderId="0" xfId="0" applyFont="1" applyAlignment="1"/>
    <xf numFmtId="165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 applyBorder="1"/>
    <xf numFmtId="2" fontId="0" fillId="0" borderId="0" xfId="0" applyNumberFormat="1" applyBorder="1"/>
    <xf numFmtId="2" fontId="17" fillId="0" borderId="0" xfId="0" applyNumberFormat="1" applyFont="1" applyBorder="1"/>
    <xf numFmtId="2" fontId="17" fillId="0" borderId="15" xfId="0" applyNumberFormat="1" applyFont="1" applyBorder="1"/>
    <xf numFmtId="0" fontId="18" fillId="0" borderId="0" xfId="0" applyFont="1"/>
    <xf numFmtId="0" fontId="19" fillId="0" borderId="0" xfId="0" applyFont="1"/>
    <xf numFmtId="0" fontId="6" fillId="6" borderId="10" xfId="0" applyFont="1" applyFill="1" applyBorder="1"/>
    <xf numFmtId="0" fontId="6" fillId="6" borderId="0" xfId="0" applyFont="1" applyFill="1" applyBorder="1"/>
    <xf numFmtId="2" fontId="0" fillId="6" borderId="0" xfId="0" applyNumberFormat="1" applyFill="1" applyBorder="1"/>
    <xf numFmtId="2" fontId="17" fillId="6" borderId="0" xfId="0" applyNumberFormat="1" applyFont="1" applyFill="1" applyBorder="1"/>
    <xf numFmtId="2" fontId="17" fillId="6" borderId="15" xfId="0" applyNumberFormat="1" applyFont="1" applyFill="1" applyBorder="1"/>
    <xf numFmtId="0" fontId="20" fillId="0" borderId="0" xfId="0" applyFont="1"/>
    <xf numFmtId="165" fontId="10" fillId="0" borderId="19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0" fontId="21" fillId="5" borderId="10" xfId="0" applyFont="1" applyFill="1" applyBorder="1"/>
    <xf numFmtId="0" fontId="21" fillId="5" borderId="0" xfId="0" applyFont="1" applyFill="1" applyBorder="1"/>
    <xf numFmtId="2" fontId="20" fillId="5" borderId="0" xfId="0" applyNumberFormat="1" applyFont="1" applyFill="1" applyBorder="1"/>
    <xf numFmtId="2" fontId="20" fillId="5" borderId="15" xfId="0" applyNumberFormat="1" applyFont="1" applyFill="1" applyBorder="1"/>
    <xf numFmtId="165" fontId="10" fillId="0" borderId="22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0" fillId="6" borderId="0" xfId="0" applyFill="1" applyBorder="1"/>
    <xf numFmtId="164" fontId="0" fillId="6" borderId="0" xfId="0" applyNumberFormat="1" applyFill="1" applyBorder="1"/>
    <xf numFmtId="165" fontId="10" fillId="7" borderId="22" xfId="0" applyNumberFormat="1" applyFont="1" applyFill="1" applyBorder="1" applyAlignment="1">
      <alignment vertical="center"/>
    </xf>
    <xf numFmtId="165" fontId="10" fillId="7" borderId="23" xfId="0" applyNumberFormat="1" applyFont="1" applyFill="1" applyBorder="1" applyAlignment="1">
      <alignment vertical="center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165" fontId="10" fillId="0" borderId="27" xfId="0" applyNumberFormat="1" applyFont="1" applyBorder="1" applyAlignment="1">
      <alignment vertical="center"/>
    </xf>
    <xf numFmtId="0" fontId="11" fillId="0" borderId="0" xfId="0" applyFont="1" applyBorder="1" applyAlignment="1"/>
    <xf numFmtId="164" fontId="20" fillId="5" borderId="0" xfId="0" applyNumberFormat="1" applyFont="1" applyFill="1" applyBorder="1"/>
    <xf numFmtId="0" fontId="21" fillId="5" borderId="0" xfId="0" applyFont="1" applyFill="1" applyBorder="1" applyAlignment="1">
      <alignment horizontal="center"/>
    </xf>
    <xf numFmtId="2" fontId="20" fillId="5" borderId="0" xfId="0" applyNumberFormat="1" applyFont="1" applyFill="1" applyBorder="1" applyAlignment="1"/>
    <xf numFmtId="0" fontId="0" fillId="7" borderId="0" xfId="0" applyFill="1"/>
    <xf numFmtId="0" fontId="22" fillId="0" borderId="0" xfId="0" applyFont="1"/>
    <xf numFmtId="0" fontId="23" fillId="0" borderId="10" xfId="0" applyFont="1" applyBorder="1" applyAlignment="1">
      <alignment vertical="top"/>
    </xf>
    <xf numFmtId="164" fontId="0" fillId="0" borderId="0" xfId="0" applyNumberFormat="1" applyBorder="1"/>
    <xf numFmtId="0" fontId="15" fillId="0" borderId="0" xfId="0" applyFont="1" applyBorder="1" applyAlignment="1">
      <alignment horizontal="center" vertical="center"/>
    </xf>
    <xf numFmtId="0" fontId="23" fillId="6" borderId="10" xfId="0" applyFont="1" applyFill="1" applyBorder="1" applyAlignment="1">
      <alignment vertical="top"/>
    </xf>
    <xf numFmtId="164" fontId="10" fillId="0" borderId="19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vertical="center"/>
    </xf>
    <xf numFmtId="164" fontId="10" fillId="0" borderId="23" xfId="0" applyNumberFormat="1" applyFont="1" applyBorder="1" applyAlignment="1">
      <alignment vertical="center"/>
    </xf>
    <xf numFmtId="164" fontId="10" fillId="0" borderId="24" xfId="0" applyNumberFormat="1" applyFont="1" applyBorder="1" applyAlignment="1">
      <alignment vertical="center"/>
    </xf>
    <xf numFmtId="0" fontId="21" fillId="5" borderId="10" xfId="0" applyFont="1" applyFill="1" applyBorder="1" applyAlignment="1">
      <alignment vertical="top"/>
    </xf>
    <xf numFmtId="164" fontId="10" fillId="0" borderId="25" xfId="0" applyNumberFormat="1" applyFont="1" applyBorder="1" applyAlignment="1">
      <alignment vertical="center"/>
    </xf>
    <xf numFmtId="164" fontId="10" fillId="0" borderId="26" xfId="0" applyNumberFormat="1" applyFont="1" applyBorder="1" applyAlignment="1">
      <alignment vertical="center"/>
    </xf>
    <xf numFmtId="164" fontId="10" fillId="0" borderId="27" xfId="0" applyNumberFormat="1" applyFont="1" applyBorder="1" applyAlignment="1">
      <alignment vertical="center"/>
    </xf>
    <xf numFmtId="0" fontId="23" fillId="8" borderId="10" xfId="0" applyFont="1" applyFill="1" applyBorder="1" applyAlignment="1">
      <alignment vertical="top"/>
    </xf>
    <xf numFmtId="0" fontId="6" fillId="8" borderId="0" xfId="0" applyFont="1" applyFill="1" applyBorder="1"/>
    <xf numFmtId="164" fontId="0" fillId="8" borderId="0" xfId="0" applyNumberFormat="1" applyFill="1" applyBorder="1"/>
    <xf numFmtId="2" fontId="0" fillId="8" borderId="0" xfId="0" applyNumberFormat="1" applyFill="1" applyBorder="1"/>
    <xf numFmtId="0" fontId="6" fillId="8" borderId="0" xfId="0" applyFont="1" applyFill="1" applyBorder="1" applyAlignment="1">
      <alignment horizontal="center"/>
    </xf>
    <xf numFmtId="2" fontId="17" fillId="8" borderId="0" xfId="0" applyNumberFormat="1" applyFont="1" applyFill="1" applyBorder="1"/>
    <xf numFmtId="2" fontId="17" fillId="8" borderId="15" xfId="0" applyNumberFormat="1" applyFont="1" applyFill="1" applyBorder="1"/>
    <xf numFmtId="0" fontId="24" fillId="0" borderId="0" xfId="0" applyFont="1"/>
    <xf numFmtId="0" fontId="10" fillId="0" borderId="0" xfId="0" applyFont="1"/>
    <xf numFmtId="0" fontId="21" fillId="5" borderId="28" xfId="0" applyFont="1" applyFill="1" applyBorder="1" applyAlignment="1">
      <alignment vertical="top"/>
    </xf>
    <xf numFmtId="0" fontId="21" fillId="5" borderId="29" xfId="0" applyFont="1" applyFill="1" applyBorder="1"/>
    <xf numFmtId="164" fontId="20" fillId="5" borderId="29" xfId="0" applyNumberFormat="1" applyFont="1" applyFill="1" applyBorder="1"/>
    <xf numFmtId="2" fontId="20" fillId="5" borderId="29" xfId="0" applyNumberFormat="1" applyFont="1" applyFill="1" applyBorder="1"/>
    <xf numFmtId="2" fontId="20" fillId="5" borderId="30" xfId="0" applyNumberFormat="1" applyFont="1" applyFill="1" applyBorder="1"/>
    <xf numFmtId="165" fontId="17" fillId="0" borderId="0" xfId="0" applyNumberFormat="1" applyFont="1" applyBorder="1"/>
    <xf numFmtId="0" fontId="15" fillId="0" borderId="0" xfId="0" applyFont="1" applyBorder="1"/>
    <xf numFmtId="2" fontId="20" fillId="0" borderId="0" xfId="0" applyNumberFormat="1" applyFont="1" applyBorder="1"/>
    <xf numFmtId="0" fontId="10" fillId="0" borderId="0" xfId="0" applyFont="1" applyFill="1"/>
    <xf numFmtId="164" fontId="10" fillId="0" borderId="19" xfId="0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10" fillId="0" borderId="21" xfId="0" applyNumberFormat="1" applyFont="1" applyFill="1" applyBorder="1" applyAlignment="1">
      <alignment vertical="center"/>
    </xf>
    <xf numFmtId="164" fontId="10" fillId="0" borderId="22" xfId="0" applyNumberFormat="1" applyFont="1" applyFill="1" applyBorder="1" applyAlignment="1">
      <alignment vertical="center"/>
    </xf>
    <xf numFmtId="164" fontId="10" fillId="0" borderId="23" xfId="0" applyNumberFormat="1" applyFont="1" applyFill="1" applyBorder="1" applyAlignment="1">
      <alignment vertical="center"/>
    </xf>
    <xf numFmtId="164" fontId="10" fillId="0" borderId="24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6" xfId="0" applyNumberFormat="1" applyFont="1" applyFill="1" applyBorder="1" applyAlignment="1">
      <alignment vertical="center"/>
    </xf>
    <xf numFmtId="164" fontId="10" fillId="0" borderId="27" xfId="0" applyNumberFormat="1" applyFont="1" applyFill="1" applyBorder="1" applyAlignment="1">
      <alignment vertical="center"/>
    </xf>
    <xf numFmtId="164" fontId="10" fillId="9" borderId="20" xfId="0" applyNumberFormat="1" applyFont="1" applyFill="1" applyBorder="1" applyAlignment="1">
      <alignment vertical="center"/>
    </xf>
    <xf numFmtId="0" fontId="0" fillId="9" borderId="0" xfId="0" applyFill="1"/>
    <xf numFmtId="164" fontId="10" fillId="10" borderId="23" xfId="0" applyNumberFormat="1" applyFont="1" applyFill="1" applyBorder="1" applyAlignment="1">
      <alignment vertical="center"/>
    </xf>
    <xf numFmtId="0" fontId="0" fillId="10" borderId="0" xfId="0" applyFill="1"/>
    <xf numFmtId="164" fontId="10" fillId="10" borderId="24" xfId="0" applyNumberFormat="1" applyFont="1" applyFill="1" applyBorder="1" applyAlignment="1">
      <alignment vertical="center"/>
    </xf>
    <xf numFmtId="0" fontId="25" fillId="0" borderId="0" xfId="0" applyFont="1"/>
    <xf numFmtId="0" fontId="6" fillId="0" borderId="10" xfId="0" applyFont="1" applyFill="1" applyBorder="1"/>
    <xf numFmtId="0" fontId="15" fillId="0" borderId="0" xfId="0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2" fontId="17" fillId="0" borderId="0" xfId="0" applyNumberFormat="1" applyFont="1" applyFill="1" applyBorder="1"/>
    <xf numFmtId="2" fontId="17" fillId="0" borderId="15" xfId="0" applyNumberFormat="1" applyFont="1" applyFill="1" applyBorder="1"/>
    <xf numFmtId="0" fontId="23" fillId="0" borderId="10" xfId="0" applyFont="1" applyFill="1" applyBorder="1" applyAlignment="1">
      <alignment vertical="top"/>
    </xf>
    <xf numFmtId="0" fontId="6" fillId="0" borderId="0" xfId="0" applyFont="1" applyFill="1" applyBorder="1"/>
    <xf numFmtId="0" fontId="0" fillId="0" borderId="0" xfId="0" applyBorder="1"/>
    <xf numFmtId="164" fontId="10" fillId="9" borderId="23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6" fillId="11" borderId="10" xfId="0" applyFont="1" applyFill="1" applyBorder="1"/>
    <xf numFmtId="0" fontId="0" fillId="11" borderId="0" xfId="0" applyFill="1" applyBorder="1"/>
    <xf numFmtId="164" fontId="0" fillId="11" borderId="0" xfId="0" applyNumberFormat="1" applyFill="1" applyBorder="1"/>
    <xf numFmtId="2" fontId="0" fillId="11" borderId="0" xfId="0" applyNumberFormat="1" applyFill="1" applyBorder="1"/>
    <xf numFmtId="2" fontId="17" fillId="11" borderId="0" xfId="0" applyNumberFormat="1" applyFont="1" applyFill="1" applyBorder="1"/>
    <xf numFmtId="2" fontId="17" fillId="11" borderId="15" xfId="0" applyNumberFormat="1" applyFont="1" applyFill="1" applyBorder="1"/>
    <xf numFmtId="0" fontId="23" fillId="11" borderId="10" xfId="0" applyFont="1" applyFill="1" applyBorder="1" applyAlignment="1">
      <alignment vertical="top"/>
    </xf>
    <xf numFmtId="0" fontId="6" fillId="11" borderId="0" xfId="0" applyFont="1" applyFill="1" applyBorder="1"/>
    <xf numFmtId="0" fontId="23" fillId="12" borderId="10" xfId="0" applyFont="1" applyFill="1" applyBorder="1" applyAlignment="1">
      <alignment vertical="top"/>
    </xf>
    <xf numFmtId="0" fontId="6" fillId="12" borderId="0" xfId="0" applyFont="1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6" fillId="12" borderId="0" xfId="0" applyFont="1" applyFill="1" applyBorder="1" applyAlignment="1">
      <alignment horizontal="center"/>
    </xf>
    <xf numFmtId="2" fontId="17" fillId="12" borderId="0" xfId="0" applyNumberFormat="1" applyFont="1" applyFill="1" applyBorder="1"/>
    <xf numFmtId="2" fontId="17" fillId="12" borderId="15" xfId="0" applyNumberFormat="1" applyFont="1" applyFill="1" applyBorder="1"/>
    <xf numFmtId="164" fontId="10" fillId="13" borderId="20" xfId="0" applyNumberFormat="1" applyFont="1" applyFill="1" applyBorder="1" applyAlignment="1">
      <alignment vertical="center"/>
    </xf>
    <xf numFmtId="164" fontId="10" fillId="13" borderId="22" xfId="0" applyNumberFormat="1" applyFont="1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0" xfId="0" applyFont="1" applyBorder="1" applyAlignme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FEBC9"/>
      <rgbColor rgb="FFF2F2F2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7.4430531677111653E-2</c:v>
                  </c:pt>
                  <c:pt idx="1">
                    <c:v>0.20008211932545056</c:v>
                  </c:pt>
                  <c:pt idx="2">
                    <c:v>0.15610661296039874</c:v>
                  </c:pt>
                  <c:pt idx="3">
                    <c:v>0.40581944167935297</c:v>
                  </c:pt>
                  <c:pt idx="4">
                    <c:v>0.11752630237566762</c:v>
                  </c:pt>
                  <c:pt idx="5">
                    <c:v>36.188698638508733</c:v>
                  </c:pt>
                  <c:pt idx="6">
                    <c:v>48.023857027508967</c:v>
                  </c:pt>
                  <c:pt idx="7">
                    <c:v>0.14903304138738183</c:v>
                  </c:pt>
                  <c:pt idx="8">
                    <c:v>4.2073449766966515</c:v>
                  </c:pt>
                  <c:pt idx="9">
                    <c:v>0.47462537299416419</c:v>
                  </c:pt>
                  <c:pt idx="10">
                    <c:v>3.4382561937468461</c:v>
                  </c:pt>
                  <c:pt idx="11">
                    <c:v>0.81069418394544202</c:v>
                  </c:pt>
                  <c:pt idx="12">
                    <c:v>0.10034581967393168</c:v>
                  </c:pt>
                  <c:pt idx="13">
                    <c:v>0.14724171629813729</c:v>
                  </c:pt>
                  <c:pt idx="14">
                    <c:v>8.9960315523428896E-2</c:v>
                  </c:pt>
                  <c:pt idx="15">
                    <c:v>0.18291160560990213</c:v>
                  </c:pt>
                  <c:pt idx="16">
                    <c:v>9.0297914568543011E-2</c:v>
                  </c:pt>
                  <c:pt idx="17">
                    <c:v>0.28130101291536447</c:v>
                  </c:pt>
                  <c:pt idx="18">
                    <c:v>2.3305405816048813E-2</c:v>
                  </c:pt>
                  <c:pt idx="19">
                    <c:v>3.5783953973100191E-2</c:v>
                  </c:pt>
                  <c:pt idx="20">
                    <c:v>3.8362699597821286E-2</c:v>
                  </c:pt>
                  <c:pt idx="21">
                    <c:v>0.36568158714871618</c:v>
                  </c:pt>
                  <c:pt idx="22">
                    <c:v>0.77187954093447886</c:v>
                  </c:pt>
                  <c:pt idx="23">
                    <c:v>4.4625880406330441E-2</c:v>
                  </c:pt>
                  <c:pt idx="24">
                    <c:v>4.710936715953312</c:v>
                  </c:pt>
                  <c:pt idx="25">
                    <c:v>0.70497221404091837</c:v>
                  </c:pt>
                  <c:pt idx="26">
                    <c:v>5.4971484130600649E-2</c:v>
                  </c:pt>
                  <c:pt idx="27">
                    <c:v>0.30609897626585414</c:v>
                  </c:pt>
                </c:numCache>
              </c:numRef>
            </c:plus>
            <c:min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7.4430531677111653E-2</c:v>
                  </c:pt>
                  <c:pt idx="1">
                    <c:v>0.20008211932545056</c:v>
                  </c:pt>
                  <c:pt idx="2">
                    <c:v>0.15610661296039874</c:v>
                  </c:pt>
                  <c:pt idx="3">
                    <c:v>0.40581944167935297</c:v>
                  </c:pt>
                  <c:pt idx="4">
                    <c:v>0.11752630237566762</c:v>
                  </c:pt>
                  <c:pt idx="5">
                    <c:v>36.188698638508733</c:v>
                  </c:pt>
                  <c:pt idx="6">
                    <c:v>48.023857027508967</c:v>
                  </c:pt>
                  <c:pt idx="7">
                    <c:v>0.14903304138738183</c:v>
                  </c:pt>
                  <c:pt idx="8">
                    <c:v>4.2073449766966515</c:v>
                  </c:pt>
                  <c:pt idx="9">
                    <c:v>0.47462537299416419</c:v>
                  </c:pt>
                  <c:pt idx="10">
                    <c:v>3.4382561937468461</c:v>
                  </c:pt>
                  <c:pt idx="11">
                    <c:v>0.81069418394544202</c:v>
                  </c:pt>
                  <c:pt idx="12">
                    <c:v>0.10034581967393168</c:v>
                  </c:pt>
                  <c:pt idx="13">
                    <c:v>0.14724171629813729</c:v>
                  </c:pt>
                  <c:pt idx="14">
                    <c:v>8.9960315523428896E-2</c:v>
                  </c:pt>
                  <c:pt idx="15">
                    <c:v>0.18291160560990213</c:v>
                  </c:pt>
                  <c:pt idx="16">
                    <c:v>9.0297914568543011E-2</c:v>
                  </c:pt>
                  <c:pt idx="17">
                    <c:v>0.28130101291536447</c:v>
                  </c:pt>
                  <c:pt idx="18">
                    <c:v>2.3305405816048813E-2</c:v>
                  </c:pt>
                  <c:pt idx="19">
                    <c:v>3.5783953973100191E-2</c:v>
                  </c:pt>
                  <c:pt idx="20">
                    <c:v>3.8362699597821286E-2</c:v>
                  </c:pt>
                  <c:pt idx="21">
                    <c:v>0.36568158714871618</c:v>
                  </c:pt>
                  <c:pt idx="22">
                    <c:v>0.77187954093447886</c:v>
                  </c:pt>
                  <c:pt idx="23">
                    <c:v>4.4625880406330441E-2</c:v>
                  </c:pt>
                  <c:pt idx="24">
                    <c:v>4.710936715953312</c:v>
                  </c:pt>
                  <c:pt idx="25">
                    <c:v>0.70497221404091837</c:v>
                  </c:pt>
                  <c:pt idx="26">
                    <c:v>5.4971484130600649E-2</c:v>
                  </c:pt>
                  <c:pt idx="27">
                    <c:v>0.30609897626585414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1'!$O$16:$O$22,'Plate 1'!$O$24:$O$30,'Plate 1'!$O$32:$O$38,'Plate 1'!$O$40:$O$46)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('Plate 1'!$Y$16:$Y$22,'Plate 1'!$Y$24:$Y$30,'Plate 1'!$Y$32:$Y$38,'Plate 1'!$Y$40:$Y$46)</c:f>
              <c:numCache>
                <c:formatCode>0.00</c:formatCode>
                <c:ptCount val="28"/>
                <c:pt idx="0">
                  <c:v>-1.3318509672908745</c:v>
                </c:pt>
                <c:pt idx="1">
                  <c:v>-0.29140737168158343</c:v>
                </c:pt>
                <c:pt idx="2">
                  <c:v>-1.8029760606728906</c:v>
                </c:pt>
                <c:pt idx="3">
                  <c:v>3.2584135938697099</c:v>
                </c:pt>
                <c:pt idx="4">
                  <c:v>-1.9393727056080596</c:v>
                </c:pt>
                <c:pt idx="5">
                  <c:v>-16.060152168613492</c:v>
                </c:pt>
                <c:pt idx="6">
                  <c:v>-81.789230389557503</c:v>
                </c:pt>
                <c:pt idx="7">
                  <c:v>0.60085100445299433</c:v>
                </c:pt>
                <c:pt idx="8">
                  <c:v>39.617860907359145</c:v>
                </c:pt>
                <c:pt idx="9">
                  <c:v>0.90587843599645912</c:v>
                </c:pt>
                <c:pt idx="10">
                  <c:v>61.644871201517489</c:v>
                </c:pt>
                <c:pt idx="11">
                  <c:v>0.72619682809110497</c:v>
                </c:pt>
                <c:pt idx="12">
                  <c:v>-1.1000674713001717</c:v>
                </c:pt>
                <c:pt idx="13">
                  <c:v>-0.86353243169858718</c:v>
                </c:pt>
                <c:pt idx="14">
                  <c:v>-0.87949472912765791</c:v>
                </c:pt>
                <c:pt idx="15">
                  <c:v>-0.35935289758353467</c:v>
                </c:pt>
                <c:pt idx="16">
                  <c:v>-1.1566732655444061</c:v>
                </c:pt>
                <c:pt idx="17">
                  <c:v>2.0188230548024526</c:v>
                </c:pt>
                <c:pt idx="18">
                  <c:v>-1.4985780409866738</c:v>
                </c:pt>
                <c:pt idx="19">
                  <c:v>-2.1701295379955048</c:v>
                </c:pt>
                <c:pt idx="20">
                  <c:v>-1.8764727927912814</c:v>
                </c:pt>
                <c:pt idx="21">
                  <c:v>-0.37869957352372269</c:v>
                </c:pt>
                <c:pt idx="22">
                  <c:v>2.2632721746419784</c:v>
                </c:pt>
                <c:pt idx="23">
                  <c:v>-0.35885762267947119</c:v>
                </c:pt>
                <c:pt idx="24">
                  <c:v>16.49364322611093</c:v>
                </c:pt>
                <c:pt idx="25">
                  <c:v>-0.55862881888112348</c:v>
                </c:pt>
                <c:pt idx="26">
                  <c:v>-1.7024352551468844</c:v>
                </c:pt>
                <c:pt idx="27">
                  <c:v>-1.3800319290523329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0-4859-8B92-6B06F5E2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7669"/>
        <c:axId val="13267933"/>
      </c:barChart>
      <c:catAx>
        <c:axId val="126976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67933"/>
        <c:crosses val="autoZero"/>
        <c:auto val="1"/>
        <c:lblAlgn val="ctr"/>
        <c:lblOffset val="100"/>
        <c:noMultiLvlLbl val="0"/>
      </c:catAx>
      <c:valAx>
        <c:axId val="13267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76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0</c:v>
                  </c:pt>
                  <c:pt idx="1">
                    <c:v>0.76701801117087631</c:v>
                  </c:pt>
                  <c:pt idx="2">
                    <c:v>1.2537576192215028</c:v>
                  </c:pt>
                  <c:pt idx="3">
                    <c:v>3.8435295503743281</c:v>
                  </c:pt>
                  <c:pt idx="4">
                    <c:v>2.0697867983734355</c:v>
                  </c:pt>
                  <c:pt idx="5">
                    <c:v>1.2246291096735191</c:v>
                  </c:pt>
                  <c:pt idx="6">
                    <c:v>0.44286862828215146</c:v>
                  </c:pt>
                  <c:pt idx="7">
                    <c:v>1.0696978471859497</c:v>
                  </c:pt>
                  <c:pt idx="8">
                    <c:v>0.24785274670941962</c:v>
                  </c:pt>
                  <c:pt idx="9">
                    <c:v>0.14301321106121509</c:v>
                  </c:pt>
                  <c:pt idx="10">
                    <c:v>0.18764376661694529</c:v>
                  </c:pt>
                  <c:pt idx="11">
                    <c:v>1.863434293030289</c:v>
                  </c:pt>
                  <c:pt idx="12">
                    <c:v>0.33956837229976505</c:v>
                  </c:pt>
                  <c:pt idx="13">
                    <c:v>0.14776373055040046</c:v>
                  </c:pt>
                  <c:pt idx="14">
                    <c:v>0.43947929775475164</c:v>
                  </c:pt>
                  <c:pt idx="15">
                    <c:v>3.1845671509773066</c:v>
                  </c:pt>
                  <c:pt idx="16">
                    <c:v>0.47694871092890756</c:v>
                  </c:pt>
                  <c:pt idx="17">
                    <c:v>0.52760675650404421</c:v>
                  </c:pt>
                  <c:pt idx="18">
                    <c:v>0.8486950903645063</c:v>
                  </c:pt>
                  <c:pt idx="19">
                    <c:v>0.11311801619889367</c:v>
                  </c:pt>
                  <c:pt idx="20">
                    <c:v>7.1613169331927004E-2</c:v>
                  </c:pt>
                  <c:pt idx="21">
                    <c:v>0.13434979935266342</c:v>
                  </c:pt>
                  <c:pt idx="22">
                    <c:v>0.25466633803019256</c:v>
                  </c:pt>
                  <c:pt idx="23">
                    <c:v>0.16609216203143601</c:v>
                  </c:pt>
                  <c:pt idx="24">
                    <c:v>0.44093102986461646</c:v>
                  </c:pt>
                  <c:pt idx="25">
                    <c:v>2.5389934768660201E-2</c:v>
                  </c:pt>
                  <c:pt idx="26">
                    <c:v>0.73747521175043895</c:v>
                  </c:pt>
                  <c:pt idx="27">
                    <c:v>2.3532934925059124</c:v>
                  </c:pt>
                </c:numCache>
              </c:numRef>
            </c:plus>
            <c:min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0</c:v>
                  </c:pt>
                  <c:pt idx="1">
                    <c:v>0.76701801117087631</c:v>
                  </c:pt>
                  <c:pt idx="2">
                    <c:v>1.2537576192215028</c:v>
                  </c:pt>
                  <c:pt idx="3">
                    <c:v>3.8435295503743281</c:v>
                  </c:pt>
                  <c:pt idx="4">
                    <c:v>2.0697867983734355</c:v>
                  </c:pt>
                  <c:pt idx="5">
                    <c:v>1.2246291096735191</c:v>
                  </c:pt>
                  <c:pt idx="6">
                    <c:v>0.44286862828215146</c:v>
                  </c:pt>
                  <c:pt idx="7">
                    <c:v>1.0696978471859497</c:v>
                  </c:pt>
                  <c:pt idx="8">
                    <c:v>0.24785274670941962</c:v>
                  </c:pt>
                  <c:pt idx="9">
                    <c:v>0.14301321106121509</c:v>
                  </c:pt>
                  <c:pt idx="10">
                    <c:v>0.18764376661694529</c:v>
                  </c:pt>
                  <c:pt idx="11">
                    <c:v>1.863434293030289</c:v>
                  </c:pt>
                  <c:pt idx="12">
                    <c:v>0.33956837229976505</c:v>
                  </c:pt>
                  <c:pt idx="13">
                    <c:v>0.14776373055040046</c:v>
                  </c:pt>
                  <c:pt idx="14">
                    <c:v>0.43947929775475164</c:v>
                  </c:pt>
                  <c:pt idx="15">
                    <c:v>3.1845671509773066</c:v>
                  </c:pt>
                  <c:pt idx="16">
                    <c:v>0.47694871092890756</c:v>
                  </c:pt>
                  <c:pt idx="17">
                    <c:v>0.52760675650404421</c:v>
                  </c:pt>
                  <c:pt idx="18">
                    <c:v>0.8486950903645063</c:v>
                  </c:pt>
                  <c:pt idx="19">
                    <c:v>0.11311801619889367</c:v>
                  </c:pt>
                  <c:pt idx="20">
                    <c:v>7.1613169331927004E-2</c:v>
                  </c:pt>
                  <c:pt idx="21">
                    <c:v>0.13434979935266342</c:v>
                  </c:pt>
                  <c:pt idx="22">
                    <c:v>0.25466633803019256</c:v>
                  </c:pt>
                  <c:pt idx="23">
                    <c:v>0.16609216203143601</c:v>
                  </c:pt>
                  <c:pt idx="24">
                    <c:v>0.44093102986461646</c:v>
                  </c:pt>
                  <c:pt idx="25">
                    <c:v>2.5389934768660201E-2</c:v>
                  </c:pt>
                  <c:pt idx="26">
                    <c:v>0.73747521175043895</c:v>
                  </c:pt>
                  <c:pt idx="27">
                    <c:v>2.3532934925059124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2'!$O$16:$O$22,'Plate 2'!$O$24:$O$30,'Plate 2'!$O$32:$O$38,'Plate 2'!$O$40:$O$46)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('Plate 2'!$Y$16:$Y$22,'Plate 2'!$Y$24:$Y$30,'Plate 2'!$Y$32:$Y$38,'Plate 2'!$Y$40:$Y$46)</c:f>
              <c:numCache>
                <c:formatCode>0.00</c:formatCode>
                <c:ptCount val="28"/>
                <c:pt idx="0">
                  <c:v>-0.95470428695592724</c:v>
                </c:pt>
                <c:pt idx="1">
                  <c:v>-0.98341991316477917</c:v>
                </c:pt>
                <c:pt idx="2">
                  <c:v>-2.538717248894498</c:v>
                </c:pt>
                <c:pt idx="3">
                  <c:v>0.69668669839035569</c:v>
                </c:pt>
                <c:pt idx="4">
                  <c:v>-0.9442106499259505</c:v>
                </c:pt>
                <c:pt idx="5">
                  <c:v>-2.4787270761391285</c:v>
                </c:pt>
                <c:pt idx="6">
                  <c:v>-2.3954589828925537</c:v>
                </c:pt>
                <c:pt idx="7">
                  <c:v>1.2795530328893088</c:v>
                </c:pt>
                <c:pt idx="8">
                  <c:v>2.2863127759083444</c:v>
                </c:pt>
                <c:pt idx="9">
                  <c:v>-0.23396580103676523</c:v>
                </c:pt>
                <c:pt idx="10">
                  <c:v>25.043937600218786</c:v>
                </c:pt>
                <c:pt idx="11">
                  <c:v>1.0567102807398034</c:v>
                </c:pt>
                <c:pt idx="12">
                  <c:v>-1.2954740574097423</c:v>
                </c:pt>
                <c:pt idx="13">
                  <c:v>-1.1525769293586696</c:v>
                </c:pt>
                <c:pt idx="14">
                  <c:v>0.30314951419887476</c:v>
                </c:pt>
                <c:pt idx="15">
                  <c:v>3.7555148241474692</c:v>
                </c:pt>
                <c:pt idx="16">
                  <c:v>-0.26855249850421736</c:v>
                </c:pt>
                <c:pt idx="17">
                  <c:v>6.5438609429198991</c:v>
                </c:pt>
                <c:pt idx="18">
                  <c:v>-0.46454722356236222</c:v>
                </c:pt>
                <c:pt idx="19">
                  <c:v>-0.95610756585078926</c:v>
                </c:pt>
                <c:pt idx="20">
                  <c:v>-0.36930998680074256</c:v>
                </c:pt>
                <c:pt idx="21">
                  <c:v>1.5095566346933919E-2</c:v>
                </c:pt>
                <c:pt idx="22">
                  <c:v>0.30910313127486955</c:v>
                </c:pt>
                <c:pt idx="23">
                  <c:v>-0.33709648158193822</c:v>
                </c:pt>
                <c:pt idx="24">
                  <c:v>1.7629103845791405</c:v>
                </c:pt>
                <c:pt idx="25">
                  <c:v>-0.58764367367782921</c:v>
                </c:pt>
                <c:pt idx="26">
                  <c:v>-0.76044302406204312</c:v>
                </c:pt>
                <c:pt idx="27">
                  <c:v>0.75957629297993356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4-4F81-B2CD-FB75788B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7069"/>
        <c:axId val="3444288"/>
      </c:barChart>
      <c:catAx>
        <c:axId val="486870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4288"/>
        <c:crosses val="autoZero"/>
        <c:auto val="1"/>
        <c:lblAlgn val="ctr"/>
        <c:lblOffset val="100"/>
        <c:noMultiLvlLbl val="0"/>
      </c:catAx>
      <c:valAx>
        <c:axId val="3444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6870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157841</xdr:rowOff>
    </xdr:from>
    <xdr:to>
      <xdr:col>13</xdr:col>
      <xdr:colOff>523725</xdr:colOff>
      <xdr:row>64</xdr:row>
      <xdr:rowOff>66673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D1B5B74-4F3E-4CD4-9165-764872E63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15398"/>
          <a:ext cx="5759754" cy="3239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44</xdr:row>
      <xdr:rowOff>185057</xdr:rowOff>
    </xdr:from>
    <xdr:to>
      <xdr:col>14</xdr:col>
      <xdr:colOff>69547</xdr:colOff>
      <xdr:row>63</xdr:row>
      <xdr:rowOff>6803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3D4235-3C23-47D9-A991-283AFC50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14682"/>
          <a:ext cx="5632147" cy="3441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A10" zoomScaleNormal="100" workbookViewId="0">
      <selection activeCell="K39" sqref="K39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8" t="s">
        <v>2</v>
      </c>
      <c r="F3" s="12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98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128" t="s">
        <v>10</v>
      </c>
      <c r="F7" s="12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29">
        <v>44628</v>
      </c>
      <c r="F8" s="12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30" t="s">
        <v>14</v>
      </c>
      <c r="P11" s="130"/>
      <c r="Q11" s="130"/>
      <c r="R11" s="130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31" t="s">
        <v>16</v>
      </c>
      <c r="C12" s="131"/>
      <c r="D12" s="131"/>
      <c r="E12" s="132" t="s">
        <v>17</v>
      </c>
      <c r="F12" s="132"/>
      <c r="G12" s="132"/>
      <c r="H12" s="132" t="s">
        <v>18</v>
      </c>
      <c r="I12" s="132"/>
      <c r="J12" s="132"/>
      <c r="K12" s="133" t="s">
        <v>19</v>
      </c>
      <c r="L12" s="133"/>
      <c r="M12" s="133"/>
      <c r="N12" s="5"/>
      <c r="O12" s="134" t="s">
        <v>20</v>
      </c>
      <c r="P12" s="134"/>
      <c r="Q12" s="134"/>
      <c r="R12" s="134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35" t="s">
        <v>22</v>
      </c>
      <c r="C13" s="135"/>
      <c r="D13" s="135"/>
      <c r="E13" s="136" t="s">
        <v>23</v>
      </c>
      <c r="F13" s="136"/>
      <c r="G13" s="136"/>
      <c r="H13" s="136" t="s">
        <v>24</v>
      </c>
      <c r="I13" s="136"/>
      <c r="J13" s="136"/>
      <c r="K13" s="137" t="s">
        <v>25</v>
      </c>
      <c r="L13" s="137"/>
      <c r="M13" s="137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35" t="s">
        <v>27</v>
      </c>
      <c r="C14" s="135"/>
      <c r="D14" s="135"/>
      <c r="E14" s="136" t="s">
        <v>28</v>
      </c>
      <c r="F14" s="136"/>
      <c r="G14" s="136"/>
      <c r="H14" s="136" t="s">
        <v>29</v>
      </c>
      <c r="I14" s="136"/>
      <c r="J14" s="136"/>
      <c r="K14" s="137" t="s">
        <v>30</v>
      </c>
      <c r="L14" s="137"/>
      <c r="M14" s="137"/>
      <c r="N14" s="5"/>
      <c r="O14" s="138" t="s">
        <v>31</v>
      </c>
      <c r="P14" s="9"/>
      <c r="Q14" s="139" t="s">
        <v>32</v>
      </c>
      <c r="R14" s="139"/>
      <c r="S14" s="139"/>
      <c r="T14" s="10"/>
      <c r="U14" s="139" t="s">
        <v>33</v>
      </c>
      <c r="V14" s="139"/>
      <c r="W14" s="139"/>
      <c r="X14" s="10"/>
      <c r="Y14" s="140" t="s">
        <v>34</v>
      </c>
      <c r="Z14" s="140"/>
      <c r="AA14" s="141" t="s">
        <v>35</v>
      </c>
      <c r="AB14" s="141"/>
    </row>
    <row r="15" spans="1:28" ht="15" customHeight="1">
      <c r="A15" s="4" t="s">
        <v>36</v>
      </c>
      <c r="B15" s="135" t="s">
        <v>37</v>
      </c>
      <c r="C15" s="135"/>
      <c r="D15" s="135"/>
      <c r="E15" s="136" t="s">
        <v>38</v>
      </c>
      <c r="F15" s="136"/>
      <c r="G15" s="136"/>
      <c r="H15" s="136" t="s">
        <v>39</v>
      </c>
      <c r="I15" s="136"/>
      <c r="J15" s="136"/>
      <c r="K15" s="137" t="s">
        <v>40</v>
      </c>
      <c r="L15" s="137"/>
      <c r="M15" s="137"/>
      <c r="N15" s="5"/>
      <c r="O15" s="138"/>
      <c r="P15" s="108"/>
      <c r="Q15" s="11" t="s">
        <v>41</v>
      </c>
      <c r="R15" s="12" t="s">
        <v>42</v>
      </c>
      <c r="S15" s="13" t="s">
        <v>43</v>
      </c>
      <c r="T15" s="54"/>
      <c r="U15" s="11" t="s">
        <v>41</v>
      </c>
      <c r="V15" s="12" t="s">
        <v>42</v>
      </c>
      <c r="W15" s="13" t="s">
        <v>43</v>
      </c>
      <c r="X15" s="54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35" t="s">
        <v>47</v>
      </c>
      <c r="C16" s="135"/>
      <c r="D16" s="135"/>
      <c r="E16" s="136" t="s">
        <v>48</v>
      </c>
      <c r="F16" s="136"/>
      <c r="G16" s="136"/>
      <c r="H16" s="136" t="s">
        <v>49</v>
      </c>
      <c r="I16" s="136"/>
      <c r="J16" s="136"/>
      <c r="K16" s="137" t="s">
        <v>50</v>
      </c>
      <c r="L16" s="137"/>
      <c r="M16" s="137"/>
      <c r="N16" s="5"/>
      <c r="O16" s="16" t="str">
        <f t="shared" ref="O16:O23" si="0">B12</f>
        <v>C122–A001</v>
      </c>
      <c r="P16" s="17"/>
      <c r="Q16" s="18">
        <f t="shared" ref="Q16:Q23" si="1">AVERAGE(B36:D36)</f>
        <v>-1.7470881178746351</v>
      </c>
      <c r="R16" s="18">
        <f t="shared" ref="R16:R22" si="2">Q16-$Q$23</f>
        <v>0.70833161844397852</v>
      </c>
      <c r="S16" s="18">
        <f t="shared" ref="S16:S23" si="3">_xlfn.STDEV.P(B36:D36)</f>
        <v>3.9585133967155017E-2</v>
      </c>
      <c r="T16" s="18"/>
      <c r="U16" s="18">
        <f>AVERAGE((B36/B23),(C36/C23))</f>
        <v>-7.279533824477646</v>
      </c>
      <c r="V16" s="18">
        <f t="shared" ref="V16:V22" si="4">-(U16-$U$23)</f>
        <v>-2.9513817435165777</v>
      </c>
      <c r="W16" s="18">
        <f>_xlfn.STDEV.P((B36/B23),(C36/C23))</f>
        <v>0.16493805819647944</v>
      </c>
      <c r="X16" s="18"/>
      <c r="Y16" s="19">
        <f>V16/($S$11*$S$12)*1000</f>
        <v>-1.3318509672908745</v>
      </c>
      <c r="Z16" s="20">
        <f t="shared" ref="Z16:Z47" si="5">W16/($S$11*$S$12)*1000</f>
        <v>7.4430531677111653E-2</v>
      </c>
      <c r="AA16" s="21" t="str">
        <f>IF(AND(Y16&gt;(Z16*5),Y16&gt;($Y$23/2)),"Hit","")</f>
        <v/>
      </c>
      <c r="AB16" s="22" t="str">
        <f>IF(AND(Y16&gt;(Z16*3),Y16&gt;($Y$23/2)),"Hit","")</f>
        <v/>
      </c>
    </row>
    <row r="17" spans="1:28" ht="15" customHeight="1">
      <c r="A17" s="4" t="s">
        <v>51</v>
      </c>
      <c r="B17" s="135" t="s">
        <v>52</v>
      </c>
      <c r="C17" s="135"/>
      <c r="D17" s="135"/>
      <c r="E17" s="136" t="s">
        <v>53</v>
      </c>
      <c r="F17" s="136"/>
      <c r="G17" s="136"/>
      <c r="H17" s="136" t="s">
        <v>54</v>
      </c>
      <c r="I17" s="136"/>
      <c r="J17" s="136"/>
      <c r="K17" s="137" t="s">
        <v>55</v>
      </c>
      <c r="L17" s="137"/>
      <c r="M17" s="137"/>
      <c r="N17" s="5"/>
      <c r="O17" s="16" t="str">
        <f t="shared" si="0"/>
        <v>C122–A002</v>
      </c>
      <c r="P17" s="17"/>
      <c r="Q17" s="18">
        <f t="shared" si="1"/>
        <v>-2.30043763976348</v>
      </c>
      <c r="R17" s="18">
        <f t="shared" si="2"/>
        <v>0.15498209655513362</v>
      </c>
      <c r="S17" s="18">
        <f t="shared" si="3"/>
        <v>0.10641167434204771</v>
      </c>
      <c r="T17" s="18"/>
      <c r="U17" s="18">
        <f t="shared" ref="U17:U23" si="6">AVERAGE((B37/B24),(C37/C24),(D37/D24))</f>
        <v>-9.5851568323478347</v>
      </c>
      <c r="V17" s="18">
        <f t="shared" si="4"/>
        <v>-0.64575873564638897</v>
      </c>
      <c r="W17" s="18">
        <f t="shared" ref="W16:W23" si="7">_xlfn.STDEV.P((B37/B24),(C37/C24),(D37/D24))</f>
        <v>0.44338197642519844</v>
      </c>
      <c r="X17" s="18"/>
      <c r="Y17" s="19">
        <f t="shared" ref="Y16:Y47" si="8">V17/($S$11*$S$12)*1000</f>
        <v>-0.29140737168158343</v>
      </c>
      <c r="Z17" s="20">
        <f t="shared" si="5"/>
        <v>0.20008211932545056</v>
      </c>
      <c r="AA17" s="21" t="str">
        <f>IF(AND(Y17&gt;(Z17*5),Y17&gt;($Y$23/2)),"Hit","")</f>
        <v/>
      </c>
      <c r="AB17" s="22" t="str">
        <f>IF(AND(Y17&gt;(Z17*3),Y17&gt;($Y$23/2)),"Hit","")</f>
        <v/>
      </c>
    </row>
    <row r="18" spans="1:28" ht="15" customHeight="1">
      <c r="A18" s="4" t="s">
        <v>56</v>
      </c>
      <c r="B18" s="135" t="s">
        <v>57</v>
      </c>
      <c r="C18" s="135"/>
      <c r="D18" s="135"/>
      <c r="E18" s="136" t="s">
        <v>58</v>
      </c>
      <c r="F18" s="136"/>
      <c r="G18" s="136"/>
      <c r="H18" s="136" t="s">
        <v>59</v>
      </c>
      <c r="I18" s="136"/>
      <c r="J18" s="136"/>
      <c r="K18" s="137" t="s">
        <v>60</v>
      </c>
      <c r="L18" s="137"/>
      <c r="M18" s="137"/>
      <c r="N18" s="5"/>
      <c r="O18" s="16" t="str">
        <f t="shared" si="0"/>
        <v>C122–A006</v>
      </c>
      <c r="P18" s="17"/>
      <c r="Q18" s="18">
        <f t="shared" si="1"/>
        <v>-1.4965249482103433</v>
      </c>
      <c r="R18" s="18">
        <f t="shared" si="2"/>
        <v>0.95889478810827034</v>
      </c>
      <c r="S18" s="18">
        <f t="shared" si="3"/>
        <v>8.3023741036858445E-2</v>
      </c>
      <c r="T18" s="18"/>
      <c r="U18" s="18">
        <f t="shared" si="6"/>
        <v>-6.2355206175430977</v>
      </c>
      <c r="V18" s="18">
        <f t="shared" si="4"/>
        <v>-3.9953949504511259</v>
      </c>
      <c r="W18" s="18">
        <f t="shared" si="7"/>
        <v>0.3459322543202436</v>
      </c>
      <c r="X18" s="18"/>
      <c r="Y18" s="19">
        <f t="shared" si="8"/>
        <v>-1.8029760606728906</v>
      </c>
      <c r="Z18" s="20">
        <f t="shared" si="5"/>
        <v>0.15610661296039874</v>
      </c>
      <c r="AA18" s="21" t="str">
        <f>IF(AND(Y18&gt;(Z18*5),Y18&gt;($Y$23/2)),"Hit","")</f>
        <v/>
      </c>
      <c r="AB18" s="22" t="str">
        <f>IF(AND(Y18&gt;(Z18*3),Y18&gt;($Y$23/2)),"Hit","")</f>
        <v/>
      </c>
    </row>
    <row r="19" spans="1:28" ht="15" customHeight="1">
      <c r="A19" s="4" t="s">
        <v>61</v>
      </c>
      <c r="B19" s="142" t="s">
        <v>62</v>
      </c>
      <c r="C19" s="142"/>
      <c r="D19" s="142"/>
      <c r="E19" s="143" t="s">
        <v>63</v>
      </c>
      <c r="F19" s="143"/>
      <c r="G19" s="143"/>
      <c r="H19" s="143" t="s">
        <v>64</v>
      </c>
      <c r="I19" s="143"/>
      <c r="J19" s="143"/>
      <c r="K19" s="144" t="s">
        <v>65</v>
      </c>
      <c r="L19" s="144"/>
      <c r="M19" s="144"/>
      <c r="N19" s="5"/>
      <c r="O19" s="23" t="str">
        <f t="shared" si="0"/>
        <v>C122–A011</v>
      </c>
      <c r="P19" s="24"/>
      <c r="Q19" s="25">
        <f t="shared" si="1"/>
        <v>-4.1883744220822798</v>
      </c>
      <c r="R19" s="25">
        <f t="shared" si="2"/>
        <v>-1.7329546857636662</v>
      </c>
      <c r="S19" s="25">
        <f t="shared" si="3"/>
        <v>0.21583101186274717</v>
      </c>
      <c r="T19" s="25"/>
      <c r="U19" s="25">
        <f t="shared" si="6"/>
        <v>-17.451560092009501</v>
      </c>
      <c r="V19" s="25">
        <f t="shared" si="4"/>
        <v>7.2206445240152775</v>
      </c>
      <c r="W19" s="25">
        <f t="shared" si="7"/>
        <v>0.89929588276144612</v>
      </c>
      <c r="X19" s="25"/>
      <c r="Y19" s="26">
        <f t="shared" si="8"/>
        <v>3.2584135938697099</v>
      </c>
      <c r="Z19" s="27">
        <f t="shared" si="5"/>
        <v>0.40581944167935297</v>
      </c>
      <c r="AA19" s="21" t="str">
        <f>IF(AND(Y19&gt;(Z19*5),Y19&gt;($Y$23/2)),"Hit","")</f>
        <v>Hit</v>
      </c>
      <c r="AB19" s="22" t="str">
        <f>IF(AND(Y19&gt;(Z19*3),Y19&gt;($Y$23/2)),"Hit","")</f>
        <v>Hit</v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C122–A025</v>
      </c>
      <c r="P20" s="17"/>
      <c r="Q20" s="18">
        <f t="shared" si="1"/>
        <v>-1.4239837565680233</v>
      </c>
      <c r="R20" s="18">
        <f t="shared" si="2"/>
        <v>1.0314359797505903</v>
      </c>
      <c r="S20" s="18">
        <f t="shared" si="3"/>
        <v>6.2505188655474997E-2</v>
      </c>
      <c r="T20" s="18"/>
      <c r="U20" s="18">
        <f t="shared" si="6"/>
        <v>-5.9332656523667637</v>
      </c>
      <c r="V20" s="18">
        <f t="shared" si="4"/>
        <v>-4.2976499156274599</v>
      </c>
      <c r="W20" s="18">
        <f t="shared" si="7"/>
        <v>0.26043828606447944</v>
      </c>
      <c r="X20" s="18"/>
      <c r="Y20" s="19">
        <f t="shared" si="8"/>
        <v>-1.9393727056080596</v>
      </c>
      <c r="Z20" s="20">
        <f t="shared" si="5"/>
        <v>0.11752630237566762</v>
      </c>
      <c r="AA20" s="21" t="str">
        <f>IF(AND(Y20&gt;(Z20*5),Y20&gt;($Y$23/2)),"Hit","")</f>
        <v/>
      </c>
      <c r="AB20" s="22" t="str">
        <f>IF(AND(Y20&gt;(Z20*3),Y20&gt;($Y$23/2)),"Hit","")</f>
        <v/>
      </c>
    </row>
    <row r="21" spans="1:28" ht="15" customHeight="1">
      <c r="A21" s="2" t="s">
        <v>66</v>
      </c>
      <c r="B21" s="5"/>
      <c r="C21" s="5"/>
      <c r="D21" s="5"/>
      <c r="E21" s="28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C122–A030</v>
      </c>
      <c r="P21" s="17"/>
      <c r="Q21" s="18">
        <f t="shared" si="1"/>
        <v>6.0860115930367833</v>
      </c>
      <c r="R21" s="18">
        <f t="shared" si="2"/>
        <v>8.5414313293553974</v>
      </c>
      <c r="S21" s="18">
        <f t="shared" si="3"/>
        <v>19.24659748390448</v>
      </c>
      <c r="T21" s="18"/>
      <c r="U21" s="18">
        <f t="shared" si="6"/>
        <v>25.35838163765327</v>
      </c>
      <c r="V21" s="18">
        <f t="shared" si="4"/>
        <v>-35.589297205647497</v>
      </c>
      <c r="W21" s="18">
        <f t="shared" si="7"/>
        <v>80.194156182935345</v>
      </c>
      <c r="X21" s="18"/>
      <c r="Y21" s="19">
        <f t="shared" si="8"/>
        <v>-16.060152168613492</v>
      </c>
      <c r="Z21" s="20">
        <f>W21/($S$11*$S$12)*1000</f>
        <v>36.188698638508733</v>
      </c>
      <c r="AA21" s="21"/>
      <c r="AB21" s="22"/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C122–A036</v>
      </c>
      <c r="P22" s="17"/>
      <c r="Q22" s="18">
        <f t="shared" si="1"/>
        <v>41.043364554063643</v>
      </c>
      <c r="R22" s="18">
        <f t="shared" si="2"/>
        <v>43.498784290382254</v>
      </c>
      <c r="S22" s="18">
        <f t="shared" si="3"/>
        <v>25.54100812151038</v>
      </c>
      <c r="T22" s="18"/>
      <c r="U22" s="18">
        <f t="shared" si="6"/>
        <v>171.0140189752652</v>
      </c>
      <c r="V22" s="18">
        <f t="shared" si="4"/>
        <v>-181.24493454325943</v>
      </c>
      <c r="W22" s="18">
        <f t="shared" si="7"/>
        <v>106.42086717295987</v>
      </c>
      <c r="X22" s="18"/>
      <c r="Y22" s="19">
        <f t="shared" si="8"/>
        <v>-81.789230389557503</v>
      </c>
      <c r="Z22" s="20">
        <f t="shared" si="5"/>
        <v>48.023857027508967</v>
      </c>
      <c r="AA22" s="21"/>
      <c r="AB22" s="22"/>
    </row>
    <row r="23" spans="1:28" ht="15" customHeight="1">
      <c r="A23" s="4" t="s">
        <v>15</v>
      </c>
      <c r="B23" s="29">
        <v>0.24</v>
      </c>
      <c r="C23" s="30">
        <v>0.24</v>
      </c>
      <c r="D23" s="30">
        <v>0.24</v>
      </c>
      <c r="E23" s="30">
        <v>0.24</v>
      </c>
      <c r="F23" s="30">
        <v>0.24</v>
      </c>
      <c r="G23" s="30">
        <v>0.24</v>
      </c>
      <c r="H23" s="30">
        <v>0.24</v>
      </c>
      <c r="I23" s="30">
        <v>0.24</v>
      </c>
      <c r="J23" s="30">
        <v>0.24</v>
      </c>
      <c r="K23" s="30">
        <v>0.24</v>
      </c>
      <c r="L23" s="30">
        <v>0.24</v>
      </c>
      <c r="M23" s="31">
        <v>0.24</v>
      </c>
      <c r="N23" s="5"/>
      <c r="O23" s="32" t="str">
        <f t="shared" si="0"/>
        <v>C122 w/o amine</v>
      </c>
      <c r="P23" s="33"/>
      <c r="Q23" s="34">
        <f t="shared" si="1"/>
        <v>-2.4554197363186137</v>
      </c>
      <c r="R23" s="34"/>
      <c r="S23" s="34">
        <f t="shared" si="3"/>
        <v>0.11713541358805356</v>
      </c>
      <c r="T23" s="34"/>
      <c r="U23" s="34">
        <f t="shared" si="6"/>
        <v>-10.230915567994224</v>
      </c>
      <c r="V23" s="34">
        <f>-U23</f>
        <v>10.230915567994224</v>
      </c>
      <c r="W23" s="34">
        <f t="shared" si="7"/>
        <v>0.48806422328355653</v>
      </c>
      <c r="X23" s="34"/>
      <c r="Y23" s="34">
        <f t="shared" si="8"/>
        <v>4.6168391552320509</v>
      </c>
      <c r="Z23" s="35">
        <f t="shared" si="5"/>
        <v>0.22024558812434861</v>
      </c>
      <c r="AA23" s="21"/>
      <c r="AB23" s="5"/>
    </row>
    <row r="24" spans="1:28" ht="15" customHeight="1">
      <c r="A24" s="4" t="s">
        <v>21</v>
      </c>
      <c r="B24" s="36">
        <v>0.24</v>
      </c>
      <c r="C24" s="37">
        <v>0.24</v>
      </c>
      <c r="D24" s="37">
        <v>0.24</v>
      </c>
      <c r="E24" s="37">
        <v>0.24</v>
      </c>
      <c r="F24" s="37">
        <v>0.24</v>
      </c>
      <c r="G24" s="37">
        <v>0.24</v>
      </c>
      <c r="H24" s="37">
        <v>0.24</v>
      </c>
      <c r="I24" s="37">
        <v>0.24</v>
      </c>
      <c r="J24" s="37">
        <v>0.24</v>
      </c>
      <c r="K24" s="37">
        <v>0.24</v>
      </c>
      <c r="L24" s="37">
        <v>0.24</v>
      </c>
      <c r="M24" s="38">
        <v>0.24</v>
      </c>
      <c r="N24" s="5"/>
      <c r="O24" s="16" t="str">
        <f t="shared" ref="O24:O31" si="9">E12</f>
        <v>C003–A001</v>
      </c>
      <c r="P24" s="108"/>
      <c r="Q24" s="53">
        <f t="shared" ref="Q24:Q31" si="10">AVERAGE(E36:G36)</f>
        <v>-2.4122703763153233</v>
      </c>
      <c r="R24" s="53">
        <f t="shared" ref="R24:R30" si="11">Q24-$Q$31</f>
        <v>-0.3195565982082802</v>
      </c>
      <c r="S24" s="18">
        <f t="shared" ref="S24:S31" si="12">_xlfn.STDEV.P(E36:G36)</f>
        <v>7.9261732731465223E-2</v>
      </c>
      <c r="T24" s="108"/>
      <c r="U24" s="18">
        <f t="shared" ref="U24:U31" si="13">AVERAGE((E36/E23),(F36/F23),(G36/G23))</f>
        <v>-10.051126567980516</v>
      </c>
      <c r="V24" s="53">
        <f t="shared" ref="V24:V30" si="14">-(U24-$U$31)</f>
        <v>1.3314858258678353</v>
      </c>
      <c r="W24" s="18">
        <f t="shared" ref="W24:W31" si="15">_xlfn.STDEV.P((E36/E23),(F36/F23),(G36/G23))</f>
        <v>0.33025721971443811</v>
      </c>
      <c r="X24" s="108"/>
      <c r="Y24" s="19">
        <f t="shared" si="8"/>
        <v>0.60085100445299433</v>
      </c>
      <c r="Z24" s="20">
        <f t="shared" si="5"/>
        <v>0.14903304138738183</v>
      </c>
      <c r="AA24" s="21" t="str">
        <f t="shared" ref="AA24:AA30" si="16">IF(AND(Y24&gt;(Z24*5),Y24&gt;($Y$31/2)),"Hit","")</f>
        <v/>
      </c>
      <c r="AB24" s="22" t="str">
        <f t="shared" ref="AB24:AB30" si="17">IF(AND(Y24&gt;(Z24*3),Y24&gt;($Y$31/2)),"Hit","")</f>
        <v/>
      </c>
    </row>
    <row r="25" spans="1:28" ht="15" customHeight="1">
      <c r="A25" s="4" t="s">
        <v>26</v>
      </c>
      <c r="B25" s="36">
        <v>0.24</v>
      </c>
      <c r="C25" s="37">
        <v>0.24</v>
      </c>
      <c r="D25" s="37">
        <v>0.24</v>
      </c>
      <c r="E25" s="37">
        <v>0.24</v>
      </c>
      <c r="F25" s="37">
        <v>0.24</v>
      </c>
      <c r="G25" s="37">
        <v>0.24</v>
      </c>
      <c r="H25" s="37">
        <v>0.24</v>
      </c>
      <c r="I25" s="37">
        <v>0.24</v>
      </c>
      <c r="J25" s="37">
        <v>0.24</v>
      </c>
      <c r="K25" s="37">
        <v>0.24</v>
      </c>
      <c r="L25" s="37">
        <v>0.24</v>
      </c>
      <c r="M25" s="38">
        <v>0.24</v>
      </c>
      <c r="N25" s="5"/>
      <c r="O25" s="23" t="str">
        <f t="shared" si="9"/>
        <v>C003–A002</v>
      </c>
      <c r="P25" s="39"/>
      <c r="Q25" s="40">
        <f t="shared" si="10"/>
        <v>-23.163076923076932</v>
      </c>
      <c r="R25" s="40">
        <f t="shared" si="11"/>
        <v>-21.070363144969889</v>
      </c>
      <c r="S25" s="25">
        <f t="shared" si="12"/>
        <v>2.2376343524063471</v>
      </c>
      <c r="T25" s="39"/>
      <c r="U25" s="25">
        <f t="shared" si="13"/>
        <v>-96.512820512820554</v>
      </c>
      <c r="V25" s="40">
        <f t="shared" si="14"/>
        <v>87.793179770707866</v>
      </c>
      <c r="W25" s="25">
        <f t="shared" si="15"/>
        <v>9.3234764683597806</v>
      </c>
      <c r="X25" s="39"/>
      <c r="Y25" s="26">
        <f t="shared" si="8"/>
        <v>39.617860907359145</v>
      </c>
      <c r="Z25" s="27">
        <f t="shared" si="5"/>
        <v>4.2073449766966515</v>
      </c>
      <c r="AA25" s="21" t="str">
        <f t="shared" si="16"/>
        <v>Hit</v>
      </c>
      <c r="AB25" s="22" t="str">
        <f t="shared" si="17"/>
        <v>Hit</v>
      </c>
    </row>
    <row r="26" spans="1:28" ht="15" customHeight="1">
      <c r="A26" s="4" t="s">
        <v>36</v>
      </c>
      <c r="B26" s="36">
        <v>0.24</v>
      </c>
      <c r="C26" s="37">
        <v>0.24</v>
      </c>
      <c r="D26" s="37">
        <v>0.24</v>
      </c>
      <c r="E26" s="37">
        <v>0.24</v>
      </c>
      <c r="F26" s="37">
        <v>0.24</v>
      </c>
      <c r="G26" s="37">
        <v>0.24</v>
      </c>
      <c r="H26" s="37">
        <v>0.24</v>
      </c>
      <c r="I26" s="37">
        <v>0.24</v>
      </c>
      <c r="J26" s="37">
        <v>0.24</v>
      </c>
      <c r="K26" s="37">
        <v>0.24</v>
      </c>
      <c r="L26" s="37">
        <v>0.24</v>
      </c>
      <c r="M26" s="38">
        <v>0.24</v>
      </c>
      <c r="N26" s="5"/>
      <c r="O26" s="16" t="str">
        <f t="shared" si="9"/>
        <v>C003–A006</v>
      </c>
      <c r="P26" s="108"/>
      <c r="Q26" s="53">
        <f t="shared" si="10"/>
        <v>-2.5744961655074001</v>
      </c>
      <c r="R26" s="53">
        <f t="shared" si="11"/>
        <v>-0.48178238740035706</v>
      </c>
      <c r="S26" s="18">
        <f t="shared" si="12"/>
        <v>0.25242475837321632</v>
      </c>
      <c r="T26" s="108"/>
      <c r="U26" s="18">
        <f t="shared" si="13"/>
        <v>-10.727067356280834</v>
      </c>
      <c r="V26" s="53">
        <f t="shared" si="14"/>
        <v>2.0074266141681534</v>
      </c>
      <c r="W26" s="18">
        <f t="shared" si="15"/>
        <v>1.0517698265550679</v>
      </c>
      <c r="X26" s="108"/>
      <c r="Y26" s="19">
        <f t="shared" si="8"/>
        <v>0.90587843599645912</v>
      </c>
      <c r="Z26" s="20">
        <f t="shared" si="5"/>
        <v>0.47462537299416419</v>
      </c>
      <c r="AA26" s="21" t="str">
        <f t="shared" si="16"/>
        <v/>
      </c>
      <c r="AB26" s="22" t="str">
        <f t="shared" si="17"/>
        <v/>
      </c>
    </row>
    <row r="27" spans="1:28" ht="15" customHeight="1">
      <c r="A27" s="4" t="s">
        <v>46</v>
      </c>
      <c r="B27" s="36">
        <v>0.24</v>
      </c>
      <c r="C27" s="37">
        <v>0.24</v>
      </c>
      <c r="D27" s="37">
        <v>0.24</v>
      </c>
      <c r="E27" s="37">
        <v>0.24</v>
      </c>
      <c r="F27" s="37">
        <v>0.24</v>
      </c>
      <c r="G27" s="37">
        <v>0.24</v>
      </c>
      <c r="H27" s="37">
        <v>0.24</v>
      </c>
      <c r="I27" s="37">
        <v>0.24</v>
      </c>
      <c r="J27" s="37">
        <v>0.24</v>
      </c>
      <c r="K27" s="37">
        <v>0.24</v>
      </c>
      <c r="L27" s="37">
        <v>0.24</v>
      </c>
      <c r="M27" s="38">
        <v>0.24</v>
      </c>
      <c r="N27" s="5"/>
      <c r="O27" s="23" t="str">
        <f t="shared" si="9"/>
        <v>C003–A011</v>
      </c>
      <c r="P27" s="39"/>
      <c r="Q27" s="40">
        <f t="shared" si="10"/>
        <v>-34.877922077922101</v>
      </c>
      <c r="R27" s="40">
        <f t="shared" si="11"/>
        <v>-32.785208299815061</v>
      </c>
      <c r="S27" s="25">
        <f t="shared" si="12"/>
        <v>1.8286021740823228</v>
      </c>
      <c r="T27" s="39"/>
      <c r="U27" s="25">
        <f t="shared" si="13"/>
        <v>-145.32467532467544</v>
      </c>
      <c r="V27" s="40">
        <f t="shared" si="14"/>
        <v>136.60503458256275</v>
      </c>
      <c r="W27" s="25">
        <f t="shared" si="15"/>
        <v>7.6191757253430108</v>
      </c>
      <c r="X27" s="39"/>
      <c r="Y27" s="26">
        <f t="shared" si="8"/>
        <v>61.644871201517489</v>
      </c>
      <c r="Z27" s="27">
        <f t="shared" si="5"/>
        <v>3.4382561937468461</v>
      </c>
      <c r="AA27" s="21" t="str">
        <f t="shared" si="16"/>
        <v>Hit</v>
      </c>
      <c r="AB27" s="22" t="str">
        <f t="shared" si="17"/>
        <v>Hit</v>
      </c>
    </row>
    <row r="28" spans="1:28" ht="15" customHeight="1">
      <c r="A28" s="4" t="s">
        <v>51</v>
      </c>
      <c r="B28" s="41">
        <v>0.24</v>
      </c>
      <c r="C28" s="42">
        <v>0.24</v>
      </c>
      <c r="D28" s="42">
        <v>0.24</v>
      </c>
      <c r="E28" s="37">
        <v>0.24</v>
      </c>
      <c r="F28" s="37">
        <v>0.24</v>
      </c>
      <c r="G28" s="37">
        <v>0.24</v>
      </c>
      <c r="H28" s="37">
        <v>0.24</v>
      </c>
      <c r="I28" s="37">
        <v>0.24</v>
      </c>
      <c r="J28" s="37">
        <v>0.24</v>
      </c>
      <c r="K28" s="37">
        <v>0.24</v>
      </c>
      <c r="L28" s="37">
        <v>0.24</v>
      </c>
      <c r="M28" s="38">
        <v>0.24</v>
      </c>
      <c r="N28" s="5"/>
      <c r="O28" s="16" t="str">
        <f t="shared" si="9"/>
        <v>C003–A025</v>
      </c>
      <c r="P28" s="108"/>
      <c r="Q28" s="53">
        <f t="shared" si="10"/>
        <v>-2.4789342991590164</v>
      </c>
      <c r="R28" s="53">
        <f t="shared" si="11"/>
        <v>-0.38622052105197335</v>
      </c>
      <c r="S28" s="18">
        <f t="shared" si="12"/>
        <v>0.43115959478954524</v>
      </c>
      <c r="T28" s="108"/>
      <c r="U28" s="18">
        <f t="shared" si="13"/>
        <v>-10.328892913162569</v>
      </c>
      <c r="V28" s="53">
        <f t="shared" si="14"/>
        <v>1.6092521710498886</v>
      </c>
      <c r="W28" s="18">
        <f t="shared" si="15"/>
        <v>1.7964983116230995</v>
      </c>
      <c r="X28" s="108"/>
      <c r="Y28" s="19">
        <f t="shared" si="8"/>
        <v>0.72619682809110497</v>
      </c>
      <c r="Z28" s="20">
        <f t="shared" si="5"/>
        <v>0.81069418394544202</v>
      </c>
      <c r="AA28" s="21" t="str">
        <f t="shared" si="16"/>
        <v/>
      </c>
      <c r="AB28" s="22" t="str">
        <f t="shared" si="17"/>
        <v/>
      </c>
    </row>
    <row r="29" spans="1:28" ht="15" customHeight="1">
      <c r="A29" s="4" t="s">
        <v>56</v>
      </c>
      <c r="B29" s="41">
        <v>0.24</v>
      </c>
      <c r="C29" s="42">
        <v>0.24</v>
      </c>
      <c r="D29" s="42">
        <v>0.24</v>
      </c>
      <c r="E29" s="37">
        <v>0.24</v>
      </c>
      <c r="F29" s="37">
        <v>0.24</v>
      </c>
      <c r="G29" s="37">
        <v>0.24</v>
      </c>
      <c r="H29" s="37">
        <v>0.24</v>
      </c>
      <c r="I29" s="37">
        <v>0.24</v>
      </c>
      <c r="J29" s="37">
        <v>0.24</v>
      </c>
      <c r="K29" s="37">
        <v>0.24</v>
      </c>
      <c r="L29" s="37">
        <v>0.24</v>
      </c>
      <c r="M29" s="38">
        <v>0.24</v>
      </c>
      <c r="N29" s="5"/>
      <c r="O29" s="99" t="str">
        <f t="shared" si="9"/>
        <v>C003–A030</v>
      </c>
      <c r="P29" s="100"/>
      <c r="Q29" s="101">
        <f t="shared" si="10"/>
        <v>-1.50765389417076</v>
      </c>
      <c r="R29" s="101">
        <f t="shared" si="11"/>
        <v>0.58505988393628305</v>
      </c>
      <c r="S29" s="102">
        <f t="shared" si="12"/>
        <v>5.3367920735383836E-2</v>
      </c>
      <c r="T29" s="103"/>
      <c r="U29" s="102">
        <f t="shared" si="13"/>
        <v>-6.2818912257115</v>
      </c>
      <c r="V29" s="101">
        <f t="shared" si="14"/>
        <v>-2.4377495164011806</v>
      </c>
      <c r="W29" s="102">
        <f t="shared" si="15"/>
        <v>0.22236633639743258</v>
      </c>
      <c r="X29" s="103"/>
      <c r="Y29" s="104">
        <f t="shared" si="8"/>
        <v>-1.1000674713001717</v>
      </c>
      <c r="Z29" s="105">
        <f t="shared" si="5"/>
        <v>0.10034581967393168</v>
      </c>
      <c r="AA29" s="21" t="str">
        <f t="shared" si="16"/>
        <v/>
      </c>
      <c r="AB29" s="22" t="str">
        <f t="shared" si="17"/>
        <v/>
      </c>
    </row>
    <row r="30" spans="1:28" ht="15" customHeight="1">
      <c r="A30" s="4" t="s">
        <v>61</v>
      </c>
      <c r="B30" s="43">
        <v>0.24</v>
      </c>
      <c r="C30" s="44">
        <v>0.24</v>
      </c>
      <c r="D30" s="44">
        <v>0.24</v>
      </c>
      <c r="E30" s="44">
        <v>0.24</v>
      </c>
      <c r="F30" s="44">
        <v>0.24</v>
      </c>
      <c r="G30" s="44">
        <v>0.24</v>
      </c>
      <c r="H30" s="44">
        <v>0.24</v>
      </c>
      <c r="I30" s="44">
        <v>0.24</v>
      </c>
      <c r="J30" s="44">
        <v>0.24</v>
      </c>
      <c r="K30" s="44">
        <v>0.24</v>
      </c>
      <c r="L30" s="44">
        <v>0.24</v>
      </c>
      <c r="M30" s="45">
        <v>0.24</v>
      </c>
      <c r="N30" s="5"/>
      <c r="O30" s="16" t="str">
        <f t="shared" si="9"/>
        <v>C003–A036</v>
      </c>
      <c r="P30" s="46"/>
      <c r="Q30" s="53">
        <f t="shared" si="10"/>
        <v>-1.6334526896324668</v>
      </c>
      <c r="R30" s="53">
        <f t="shared" si="11"/>
        <v>0.45926108847457625</v>
      </c>
      <c r="S30" s="18">
        <f t="shared" si="12"/>
        <v>7.830903439600137E-2</v>
      </c>
      <c r="T30" s="46"/>
      <c r="U30" s="18">
        <f t="shared" si="13"/>
        <v>-6.8060528734686114</v>
      </c>
      <c r="V30" s="53">
        <f t="shared" si="14"/>
        <v>-1.9135878686440693</v>
      </c>
      <c r="W30" s="18">
        <f t="shared" si="15"/>
        <v>0.3262876433166722</v>
      </c>
      <c r="X30" s="46"/>
      <c r="Y30" s="19">
        <f t="shared" si="8"/>
        <v>-0.86353243169858718</v>
      </c>
      <c r="Z30" s="20">
        <f t="shared" si="5"/>
        <v>0.14724171629813729</v>
      </c>
      <c r="AA30" s="21" t="str">
        <f t="shared" si="16"/>
        <v/>
      </c>
      <c r="AB30" s="22" t="str">
        <f t="shared" si="17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2" t="str">
        <f t="shared" si="9"/>
        <v>C003 w/o amine</v>
      </c>
      <c r="P31" s="33"/>
      <c r="Q31" s="47">
        <f t="shared" si="10"/>
        <v>-2.0927137781070431</v>
      </c>
      <c r="R31" s="47"/>
      <c r="S31" s="34">
        <f t="shared" si="12"/>
        <v>0.12620142250301156</v>
      </c>
      <c r="T31" s="48"/>
      <c r="U31" s="34">
        <f t="shared" si="13"/>
        <v>-8.7196407421126807</v>
      </c>
      <c r="V31" s="49">
        <f>-U31</f>
        <v>8.7196407421126807</v>
      </c>
      <c r="W31" s="34">
        <f t="shared" si="15"/>
        <v>0.52583926042921469</v>
      </c>
      <c r="X31" s="48"/>
      <c r="Y31" s="34">
        <f t="shared" si="8"/>
        <v>3.9348559305562643</v>
      </c>
      <c r="Z31" s="35">
        <f t="shared" si="5"/>
        <v>0.23729208503123406</v>
      </c>
      <c r="AA31" s="21"/>
      <c r="AB31" s="5"/>
    </row>
    <row r="32" spans="1:28" ht="15" customHeight="1">
      <c r="A32" s="5"/>
      <c r="B32" s="50"/>
      <c r="C32" s="51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2" t="str">
        <f t="shared" ref="O32:O39" si="18">H12</f>
        <v>C067–A001</v>
      </c>
      <c r="P32" s="108"/>
      <c r="Q32" s="53">
        <f t="shared" ref="Q32:Q39" si="19">AVERAGE(H36:J36)</f>
        <v>-1.2430835082520333</v>
      </c>
      <c r="R32" s="53">
        <f t="shared" ref="R32:R38" si="20">Q32-$Q$39</f>
        <v>0.46775047673925352</v>
      </c>
      <c r="S32" s="18">
        <f t="shared" ref="S32:S39" si="21">_xlfn.STDEV.P(H36:J36)</f>
        <v>4.784449420798044E-2</v>
      </c>
      <c r="T32" s="54"/>
      <c r="U32" s="18">
        <f t="shared" ref="U32:U39" si="22">AVERAGE((H36/H23),(I36/I23),(J36/J23))</f>
        <v>-5.1795146177168059</v>
      </c>
      <c r="V32" s="53">
        <f t="shared" ref="V32:V38" si="23">-(U32-$U$39)</f>
        <v>-1.9489603197468899</v>
      </c>
      <c r="W32" s="18">
        <f t="shared" ref="W32:W39" si="24">_xlfn.STDEV.P((H36/H23),(I36/I23),(J36/J23))</f>
        <v>0.19935205919991844</v>
      </c>
      <c r="X32" s="54"/>
      <c r="Y32" s="19">
        <f t="shared" si="8"/>
        <v>-0.87949472912765791</v>
      </c>
      <c r="Z32" s="20">
        <f t="shared" si="5"/>
        <v>8.9960315523428896E-2</v>
      </c>
      <c r="AA32" s="21" t="str">
        <f t="shared" ref="AA32:AA38" si="25">IF(AND(Y32&gt;(Z32*5),Y32&gt;($Y$39/2)),"Hit","")</f>
        <v/>
      </c>
      <c r="AB32" s="22" t="str">
        <f t="shared" ref="AB32:AB38" si="26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2" t="str">
        <f t="shared" si="18"/>
        <v>C067–A002</v>
      </c>
      <c r="P33" s="17"/>
      <c r="Q33" s="53">
        <f t="shared" si="19"/>
        <v>-1.5197157399404599</v>
      </c>
      <c r="R33" s="53">
        <f t="shared" si="20"/>
        <v>0.19111824505082686</v>
      </c>
      <c r="S33" s="18">
        <f t="shared" si="21"/>
        <v>9.7279708327570311E-2</v>
      </c>
      <c r="T33" s="18"/>
      <c r="U33" s="18">
        <f t="shared" si="22"/>
        <v>-6.3321489164185829</v>
      </c>
      <c r="V33" s="53">
        <f t="shared" si="23"/>
        <v>-0.79632602104511285</v>
      </c>
      <c r="W33" s="18">
        <f t="shared" si="24"/>
        <v>0.40533211803154312</v>
      </c>
      <c r="X33" s="18"/>
      <c r="Y33" s="19">
        <f t="shared" si="8"/>
        <v>-0.35935289758353467</v>
      </c>
      <c r="Z33" s="20">
        <f t="shared" si="5"/>
        <v>0.18291160560990213</v>
      </c>
      <c r="AA33" s="21" t="str">
        <f t="shared" si="25"/>
        <v/>
      </c>
      <c r="AB33" s="22" t="str">
        <f t="shared" si="26"/>
        <v/>
      </c>
    </row>
    <row r="34" spans="1:28" ht="15" customHeight="1">
      <c r="A34" s="2" t="s">
        <v>69</v>
      </c>
      <c r="B34" s="5"/>
      <c r="C34" s="5"/>
      <c r="D34" s="5"/>
      <c r="E34" s="28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52" t="str">
        <f t="shared" si="18"/>
        <v>C067–A006</v>
      </c>
      <c r="P34" s="17"/>
      <c r="Q34" s="53">
        <f t="shared" si="19"/>
        <v>-1.0956688754441501</v>
      </c>
      <c r="R34" s="53">
        <f t="shared" si="20"/>
        <v>0.61516510954713666</v>
      </c>
      <c r="S34" s="18">
        <f t="shared" si="21"/>
        <v>4.8024042884133873E-2</v>
      </c>
      <c r="T34" s="18"/>
      <c r="U34" s="18">
        <f t="shared" si="22"/>
        <v>-4.5652869810172918</v>
      </c>
      <c r="V34" s="53">
        <f t="shared" si="23"/>
        <v>-2.563187956446404</v>
      </c>
      <c r="W34" s="18">
        <f t="shared" si="24"/>
        <v>0.20010017868389132</v>
      </c>
      <c r="X34" s="18"/>
      <c r="Y34" s="19">
        <f t="shared" si="8"/>
        <v>-1.1566732655444061</v>
      </c>
      <c r="Z34" s="20">
        <f t="shared" si="5"/>
        <v>9.0297914568543011E-2</v>
      </c>
      <c r="AA34" s="21" t="str">
        <f t="shared" si="25"/>
        <v/>
      </c>
      <c r="AB34" s="22" t="str">
        <f t="shared" si="26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55" t="str">
        <f t="shared" si="18"/>
        <v>C067–A011</v>
      </c>
      <c r="P35" s="24"/>
      <c r="Q35" s="40">
        <f t="shared" si="19"/>
        <v>-2.7845248384574233</v>
      </c>
      <c r="R35" s="40">
        <f t="shared" si="20"/>
        <v>-1.0736908534661365</v>
      </c>
      <c r="S35" s="25">
        <f t="shared" si="21"/>
        <v>0.14960713070890755</v>
      </c>
      <c r="T35" s="25"/>
      <c r="U35" s="25">
        <f t="shared" si="22"/>
        <v>-11.60218682690593</v>
      </c>
      <c r="V35" s="40">
        <f t="shared" si="23"/>
        <v>4.4737118894422343</v>
      </c>
      <c r="W35" s="25">
        <f t="shared" si="24"/>
        <v>0.62336304462044767</v>
      </c>
      <c r="X35" s="25"/>
      <c r="Y35" s="26">
        <f t="shared" si="8"/>
        <v>2.0188230548024526</v>
      </c>
      <c r="Z35" s="27">
        <f t="shared" si="5"/>
        <v>0.28130101291536447</v>
      </c>
      <c r="AA35" s="21" t="str">
        <f t="shared" si="25"/>
        <v>Hit</v>
      </c>
      <c r="AB35" s="22" t="str">
        <f t="shared" si="26"/>
        <v>Hit</v>
      </c>
    </row>
    <row r="36" spans="1:28" ht="15" customHeight="1">
      <c r="A36" s="4" t="s">
        <v>15</v>
      </c>
      <c r="B36" s="84">
        <v>-1.78667325184179</v>
      </c>
      <c r="C36" s="85">
        <v>-1.70750298390748</v>
      </c>
      <c r="D36" s="93" t="s">
        <v>71</v>
      </c>
      <c r="E36" s="85">
        <v>-2.4631189035683398</v>
      </c>
      <c r="F36" s="85">
        <v>-2.4733588508869602</v>
      </c>
      <c r="G36" s="85">
        <v>-2.3003333744906702</v>
      </c>
      <c r="H36" s="85">
        <v>-1.2791208791208599</v>
      </c>
      <c r="I36" s="85">
        <v>-1.27465942297402</v>
      </c>
      <c r="J36" s="85">
        <v>-1.1754702226612199</v>
      </c>
      <c r="K36" s="85">
        <v>-1.83235790426803</v>
      </c>
      <c r="L36" s="85">
        <v>-1.7250030868008499</v>
      </c>
      <c r="M36" s="86">
        <v>-1.3767296374037901</v>
      </c>
      <c r="N36" s="5"/>
      <c r="O36" s="52" t="str">
        <f t="shared" si="18"/>
        <v>C067–A025</v>
      </c>
      <c r="P36" s="17"/>
      <c r="Q36" s="53">
        <f t="shared" si="19"/>
        <v>-0.91383023967293431</v>
      </c>
      <c r="R36" s="53">
        <f t="shared" si="20"/>
        <v>0.7970037453183525</v>
      </c>
      <c r="S36" s="18">
        <f t="shared" si="21"/>
        <v>1.2394747029207396E-2</v>
      </c>
      <c r="T36" s="18"/>
      <c r="U36" s="18">
        <f t="shared" si="22"/>
        <v>-3.8076259986372265</v>
      </c>
      <c r="V36" s="53">
        <f t="shared" si="23"/>
        <v>-3.3208489388264693</v>
      </c>
      <c r="W36" s="18">
        <f t="shared" si="24"/>
        <v>5.1644779288364168E-2</v>
      </c>
      <c r="X36" s="18"/>
      <c r="Y36" s="19">
        <f t="shared" si="8"/>
        <v>-1.4985780409866738</v>
      </c>
      <c r="Z36" s="20">
        <f t="shared" si="5"/>
        <v>2.3305405816048813E-2</v>
      </c>
      <c r="AA36" s="21" t="str">
        <f t="shared" si="25"/>
        <v/>
      </c>
      <c r="AB36" s="22" t="str">
        <f t="shared" si="26"/>
        <v/>
      </c>
    </row>
    <row r="37" spans="1:28" ht="15" customHeight="1">
      <c r="A37" s="4" t="s">
        <v>21</v>
      </c>
      <c r="B37" s="87">
        <v>-2.2338395686710202</v>
      </c>
      <c r="C37" s="88">
        <v>-2.2168662797876202</v>
      </c>
      <c r="D37" s="88">
        <v>-2.4506070708318002</v>
      </c>
      <c r="E37" s="95">
        <v>-24.515384615384601</v>
      </c>
      <c r="F37" s="95">
        <v>-24.964615384615399</v>
      </c>
      <c r="G37" s="95">
        <v>-20.0092307692308</v>
      </c>
      <c r="H37" s="88">
        <v>-1.61233074042063</v>
      </c>
      <c r="I37" s="88">
        <v>-1.5615096513972899</v>
      </c>
      <c r="J37" s="88">
        <v>-1.3853068280034599</v>
      </c>
      <c r="K37" s="88">
        <v>-3.19754702226611</v>
      </c>
      <c r="L37" s="88">
        <v>-3.4621558217063901</v>
      </c>
      <c r="M37" s="89">
        <v>-2.4897065481335101</v>
      </c>
      <c r="N37" s="5"/>
      <c r="O37" s="106" t="str">
        <f t="shared" si="18"/>
        <v>C067–A030</v>
      </c>
      <c r="P37" s="107"/>
      <c r="Q37" s="101">
        <f t="shared" si="19"/>
        <v>-0.55667229150375763</v>
      </c>
      <c r="R37" s="101">
        <f t="shared" si="20"/>
        <v>1.1541616934875292</v>
      </c>
      <c r="S37" s="102">
        <f t="shared" si="21"/>
        <v>1.90313380810536E-2</v>
      </c>
      <c r="T37" s="102"/>
      <c r="U37" s="102">
        <f t="shared" si="22"/>
        <v>-2.3194678812656573</v>
      </c>
      <c r="V37" s="101">
        <f t="shared" si="23"/>
        <v>-4.8090070561980385</v>
      </c>
      <c r="W37" s="102">
        <f t="shared" si="24"/>
        <v>7.929724200439002E-2</v>
      </c>
      <c r="X37" s="102"/>
      <c r="Y37" s="104">
        <f t="shared" si="8"/>
        <v>-2.1701295379955048</v>
      </c>
      <c r="Z37" s="105">
        <f t="shared" si="5"/>
        <v>3.5783953973100191E-2</v>
      </c>
      <c r="AA37" s="21" t="str">
        <f t="shared" si="25"/>
        <v/>
      </c>
      <c r="AB37" s="22" t="str">
        <f t="shared" si="26"/>
        <v/>
      </c>
    </row>
    <row r="38" spans="1:28" ht="15" customHeight="1">
      <c r="A38" s="4" t="s">
        <v>26</v>
      </c>
      <c r="B38" s="87">
        <v>-1.6105527431370199</v>
      </c>
      <c r="C38" s="88">
        <v>-1.46375272667407</v>
      </c>
      <c r="D38" s="88">
        <v>-1.4152693748199401</v>
      </c>
      <c r="E38" s="88">
        <v>-2.2310408692431101</v>
      </c>
      <c r="F38" s="88">
        <v>-2.8305222867020601</v>
      </c>
      <c r="G38" s="88">
        <v>-2.6619253405770298</v>
      </c>
      <c r="H38" s="88">
        <v>-1.1472198213771301</v>
      </c>
      <c r="I38" s="88">
        <v>-1.03160060912869</v>
      </c>
      <c r="J38" s="88">
        <v>-1.1081861958266299</v>
      </c>
      <c r="K38" s="88">
        <v>-1.6759106062476901</v>
      </c>
      <c r="L38" s="88">
        <v>-1.6678273037823499</v>
      </c>
      <c r="M38" s="89">
        <v>-1.62201094785365</v>
      </c>
      <c r="N38" s="5"/>
      <c r="O38" s="52" t="str">
        <f t="shared" si="18"/>
        <v>C067–A036</v>
      </c>
      <c r="P38" s="17"/>
      <c r="Q38" s="53">
        <f t="shared" si="19"/>
        <v>-0.71285069487317154</v>
      </c>
      <c r="R38" s="53">
        <f t="shared" si="20"/>
        <v>0.99798329011811526</v>
      </c>
      <c r="S38" s="18">
        <f t="shared" si="21"/>
        <v>2.0402818154105256E-2</v>
      </c>
      <c r="T38" s="18"/>
      <c r="U38" s="18">
        <f t="shared" si="22"/>
        <v>-2.9702112286382154</v>
      </c>
      <c r="V38" s="53">
        <f t="shared" si="23"/>
        <v>-4.1582637088254799</v>
      </c>
      <c r="W38" s="18">
        <f t="shared" si="24"/>
        <v>8.5011742308771968E-2</v>
      </c>
      <c r="X38" s="18"/>
      <c r="Y38" s="19">
        <f t="shared" si="8"/>
        <v>-1.8764727927912814</v>
      </c>
      <c r="Z38" s="20">
        <f t="shared" si="5"/>
        <v>3.8362699597821286E-2</v>
      </c>
      <c r="AA38" s="21" t="str">
        <f t="shared" si="25"/>
        <v/>
      </c>
      <c r="AB38" s="22" t="str">
        <f t="shared" si="26"/>
        <v/>
      </c>
    </row>
    <row r="39" spans="1:28" ht="15" customHeight="1">
      <c r="A39" s="4" t="s">
        <v>36</v>
      </c>
      <c r="B39" s="87">
        <v>-4.4509527925258103</v>
      </c>
      <c r="C39" s="88">
        <v>-4.1918590772523396</v>
      </c>
      <c r="D39" s="88">
        <v>-3.92231139646869</v>
      </c>
      <c r="E39" s="95">
        <v>-35.337662337662302</v>
      </c>
      <c r="F39" s="95">
        <v>-36.851948051948099</v>
      </c>
      <c r="G39" s="95">
        <v>-32.444155844155901</v>
      </c>
      <c r="H39" s="88">
        <v>-2.99320903815285</v>
      </c>
      <c r="I39" s="88">
        <v>-2.6499897106638799</v>
      </c>
      <c r="J39" s="88">
        <v>-2.7103757665555399</v>
      </c>
      <c r="K39" s="95">
        <v>-12.713765182186201</v>
      </c>
      <c r="L39" s="95">
        <v>-12.0445344129555</v>
      </c>
      <c r="M39" s="97">
        <v>-7.0959514170040503</v>
      </c>
      <c r="N39" s="5"/>
      <c r="O39" s="62" t="str">
        <f t="shared" si="18"/>
        <v>C067 w/o amine</v>
      </c>
      <c r="P39" s="33"/>
      <c r="Q39" s="47">
        <f t="shared" si="19"/>
        <v>-1.7108339849912868</v>
      </c>
      <c r="R39" s="34"/>
      <c r="S39" s="34">
        <f t="shared" si="21"/>
        <v>0.18998337720093747</v>
      </c>
      <c r="T39" s="34"/>
      <c r="U39" s="34">
        <f t="shared" si="22"/>
        <v>-7.1284749374636958</v>
      </c>
      <c r="V39" s="34">
        <f>-U39</f>
        <v>7.1284749374636958</v>
      </c>
      <c r="W39" s="34">
        <f t="shared" si="24"/>
        <v>0.7915974050039063</v>
      </c>
      <c r="X39" s="34"/>
      <c r="Y39" s="34">
        <f t="shared" si="8"/>
        <v>3.2168208201550974</v>
      </c>
      <c r="Z39" s="35">
        <f t="shared" si="5"/>
        <v>0.35721904557938011</v>
      </c>
      <c r="AA39" s="21"/>
      <c r="AB39" s="5"/>
    </row>
    <row r="40" spans="1:28" ht="15" customHeight="1">
      <c r="A40" s="4" t="s">
        <v>46</v>
      </c>
      <c r="B40" s="87">
        <v>-1.3732394945878099</v>
      </c>
      <c r="C40" s="88">
        <v>-1.51203852327447</v>
      </c>
      <c r="D40" s="88">
        <v>-1.3866732518417899</v>
      </c>
      <c r="E40" s="88">
        <v>-2.51286990163395</v>
      </c>
      <c r="F40" s="88">
        <v>-1.9347244515783899</v>
      </c>
      <c r="G40" s="88">
        <v>-2.9892085442647098</v>
      </c>
      <c r="H40" s="88">
        <v>-0.92913528419146896</v>
      </c>
      <c r="I40" s="88">
        <v>-0.89877762686750995</v>
      </c>
      <c r="J40" s="88">
        <v>-0.91357780795982402</v>
      </c>
      <c r="K40" s="88">
        <v>-1.1321562332798301</v>
      </c>
      <c r="L40" s="88">
        <v>-2.0412231962793901</v>
      </c>
      <c r="M40" s="89">
        <v>-1.4736304893608101</v>
      </c>
      <c r="N40" s="5"/>
      <c r="O40" s="52" t="str">
        <f t="shared" ref="O40:O47" si="27">K12</f>
        <v>C042–A001</v>
      </c>
      <c r="P40" s="17"/>
      <c r="Q40" s="53">
        <f t="shared" ref="Q40:Q47" si="28">AVERAGE(K36:M36)</f>
        <v>-1.6446968761575567</v>
      </c>
      <c r="R40" s="53">
        <f t="shared" ref="R40:R46" si="29">Q40-$Q$47</f>
        <v>0.20140758118285662</v>
      </c>
      <c r="S40" s="18">
        <f t="shared" ref="S40:S47" si="30">_xlfn.STDEV.P(K36:M36)</f>
        <v>0.19448409530917413</v>
      </c>
      <c r="T40" s="18"/>
      <c r="U40" s="18">
        <f t="shared" ref="U40:U47" si="31">AVERAGE((K36/K23),(L36/L23),(M36/M23))</f>
        <v>-6.8529036506564864</v>
      </c>
      <c r="V40" s="53">
        <f t="shared" ref="V40:V46" si="32">-(U40-$U$47)</f>
        <v>-0.83919825492856948</v>
      </c>
      <c r="W40" s="18">
        <f t="shared" ref="W40:W47" si="33">_xlfn.STDEV.P((K36/K23),(L36/L23),(M36/M23))</f>
        <v>0.81035039712155499</v>
      </c>
      <c r="X40" s="18"/>
      <c r="Y40" s="19">
        <f t="shared" si="8"/>
        <v>-0.37869957352372269</v>
      </c>
      <c r="Z40" s="20">
        <f t="shared" si="5"/>
        <v>0.36568158714871618</v>
      </c>
      <c r="AA40" s="21" t="str">
        <f t="shared" ref="AA40:AA46" si="34">IF(AND(Y40&gt;(Z40*5),Y40&gt;($Y$47/2)),"Hit","")</f>
        <v/>
      </c>
      <c r="AB40" s="22" t="str">
        <f t="shared" ref="AB40:AB46" si="35">IF(AND(Y40&gt;(Z40*3),Y40&gt;($Y$47/2)),"Hit","")</f>
        <v/>
      </c>
    </row>
    <row r="41" spans="1:28" ht="15" customHeight="1">
      <c r="A41" s="4" t="s">
        <v>51</v>
      </c>
      <c r="B41" s="87">
        <v>-3.2659957702526499</v>
      </c>
      <c r="C41" s="88">
        <v>32.899138863099502</v>
      </c>
      <c r="D41" s="88">
        <v>-11.375108313736501</v>
      </c>
      <c r="E41" s="88">
        <v>-1.44136313125078</v>
      </c>
      <c r="F41" s="88">
        <v>-1.5720459315965101</v>
      </c>
      <c r="G41" s="88">
        <v>-1.50955261966499</v>
      </c>
      <c r="H41" s="88">
        <v>-0.52976087582829101</v>
      </c>
      <c r="I41" s="88">
        <v>-0.57047372103552696</v>
      </c>
      <c r="J41" s="88">
        <v>-0.56978227764745504</v>
      </c>
      <c r="K41" s="88">
        <v>-0.92841091492777195</v>
      </c>
      <c r="L41" s="88">
        <v>-0.91262295756677903</v>
      </c>
      <c r="M41" s="89">
        <v>-0.98101000123473203</v>
      </c>
      <c r="N41" s="5"/>
      <c r="O41" s="52" t="str">
        <f t="shared" si="27"/>
        <v>C042–A002</v>
      </c>
      <c r="P41" s="108"/>
      <c r="Q41" s="53">
        <f t="shared" si="28"/>
        <v>-3.0498031307020033</v>
      </c>
      <c r="R41" s="53">
        <f t="shared" si="29"/>
        <v>-1.20369867336159</v>
      </c>
      <c r="S41" s="18">
        <f t="shared" si="30"/>
        <v>0.41051641505059339</v>
      </c>
      <c r="T41" s="108"/>
      <c r="U41" s="18">
        <f t="shared" si="31"/>
        <v>-12.70751304459168</v>
      </c>
      <c r="V41" s="53">
        <f t="shared" si="32"/>
        <v>5.0154111390066243</v>
      </c>
      <c r="W41" s="18">
        <f t="shared" si="33"/>
        <v>1.7104850627108052</v>
      </c>
      <c r="X41" s="108"/>
      <c r="Y41" s="19">
        <f t="shared" si="8"/>
        <v>2.2632721746419784</v>
      </c>
      <c r="Z41" s="20">
        <f t="shared" si="5"/>
        <v>0.77187954093447886</v>
      </c>
      <c r="AA41" s="21" t="str">
        <f t="shared" si="34"/>
        <v/>
      </c>
      <c r="AB41" s="22" t="str">
        <f t="shared" si="35"/>
        <v/>
      </c>
    </row>
    <row r="42" spans="1:28" ht="15" customHeight="1">
      <c r="A42" s="4" t="s">
        <v>56</v>
      </c>
      <c r="B42" s="87">
        <v>57.663302401088103</v>
      </c>
      <c r="C42" s="88">
        <v>60.506546212820098</v>
      </c>
      <c r="D42" s="88">
        <v>4.9602450482827303</v>
      </c>
      <c r="E42" s="88">
        <v>-1.72317570070379</v>
      </c>
      <c r="F42" s="88">
        <v>-1.53237025147138</v>
      </c>
      <c r="G42" s="88">
        <v>-1.64481211672223</v>
      </c>
      <c r="H42" s="88">
        <v>-0.68966539078899203</v>
      </c>
      <c r="I42" s="88">
        <v>-0.73931761122773498</v>
      </c>
      <c r="J42" s="88">
        <v>-0.70956908260278795</v>
      </c>
      <c r="K42" s="88">
        <v>-0.98336420134174196</v>
      </c>
      <c r="L42" s="88">
        <v>-1.3418117463061301</v>
      </c>
      <c r="M42" s="89">
        <v>-1.01126888093179</v>
      </c>
      <c r="N42" s="5"/>
      <c r="O42" s="52" t="str">
        <f t="shared" si="27"/>
        <v>C042–A006</v>
      </c>
      <c r="P42" s="46"/>
      <c r="Q42" s="53">
        <f t="shared" si="28"/>
        <v>-1.6552496192945634</v>
      </c>
      <c r="R42" s="53">
        <f t="shared" si="29"/>
        <v>0.19085483804584991</v>
      </c>
      <c r="S42" s="18">
        <f t="shared" si="30"/>
        <v>2.37338282353028E-2</v>
      </c>
      <c r="T42" s="46"/>
      <c r="U42" s="18">
        <f t="shared" si="31"/>
        <v>-6.8968734137273477</v>
      </c>
      <c r="V42" s="53">
        <f t="shared" si="32"/>
        <v>-0.79522849185770816</v>
      </c>
      <c r="W42" s="18">
        <f t="shared" si="33"/>
        <v>9.8890950980428258E-2</v>
      </c>
      <c r="X42" s="46"/>
      <c r="Y42" s="19">
        <f t="shared" si="8"/>
        <v>-0.35885762267947119</v>
      </c>
      <c r="Z42" s="20">
        <f t="shared" si="5"/>
        <v>4.4625880406330441E-2</v>
      </c>
      <c r="AA42" s="21" t="str">
        <f t="shared" si="34"/>
        <v/>
      </c>
      <c r="AB42" s="22" t="str">
        <f t="shared" si="35"/>
        <v/>
      </c>
    </row>
    <row r="43" spans="1:28" ht="15" customHeight="1" thickBot="1">
      <c r="A43" s="4" t="s">
        <v>61</v>
      </c>
      <c r="B43" s="90">
        <v>-2.6209984771782602</v>
      </c>
      <c r="C43" s="91">
        <v>-2.37696835000206</v>
      </c>
      <c r="D43" s="91">
        <v>-2.3682923817755199</v>
      </c>
      <c r="E43" s="91">
        <v>-2.1153228793678398</v>
      </c>
      <c r="F43" s="91">
        <v>-2.2347285673128501</v>
      </c>
      <c r="G43" s="91">
        <v>-1.92808988764044</v>
      </c>
      <c r="H43" s="91">
        <v>-1.6796312301930201</v>
      </c>
      <c r="I43" s="91">
        <v>-1.9575420833847701</v>
      </c>
      <c r="J43" s="91">
        <v>-1.49532864139607</v>
      </c>
      <c r="K43" s="91">
        <v>-2.1602666995925501</v>
      </c>
      <c r="L43" s="91">
        <v>-1.9255545952175099</v>
      </c>
      <c r="M43" s="92">
        <v>-1.45249207721118</v>
      </c>
      <c r="N43" s="5"/>
      <c r="O43" s="66" t="str">
        <f t="shared" si="27"/>
        <v>C042–A011</v>
      </c>
      <c r="P43" s="67"/>
      <c r="Q43" s="68">
        <f t="shared" si="28"/>
        <v>-10.618083670715251</v>
      </c>
      <c r="R43" s="68">
        <f t="shared" si="29"/>
        <v>-8.7719792133748378</v>
      </c>
      <c r="S43" s="69">
        <f t="shared" si="30"/>
        <v>2.5054645830126083</v>
      </c>
      <c r="T43" s="70"/>
      <c r="U43" s="69">
        <f t="shared" si="31"/>
        <v>-44.242015294646876</v>
      </c>
      <c r="V43" s="68">
        <f t="shared" si="32"/>
        <v>36.549913389061821</v>
      </c>
      <c r="W43" s="69">
        <f t="shared" si="33"/>
        <v>10.43943576255254</v>
      </c>
      <c r="X43" s="70"/>
      <c r="Y43" s="71">
        <f t="shared" si="8"/>
        <v>16.49364322611093</v>
      </c>
      <c r="Z43" s="72">
        <f t="shared" si="5"/>
        <v>4.710936715953312</v>
      </c>
      <c r="AA43" s="21" t="str">
        <f t="shared" si="34"/>
        <v/>
      </c>
      <c r="AB43" s="22" t="str">
        <f t="shared" si="35"/>
        <v>Hit</v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2" t="str">
        <f t="shared" si="27"/>
        <v>C042–A025</v>
      </c>
      <c r="P44" s="108"/>
      <c r="Q44" s="53">
        <f t="shared" si="28"/>
        <v>-1.5490033063066768</v>
      </c>
      <c r="R44" s="53">
        <f t="shared" si="29"/>
        <v>0.29710115103373647</v>
      </c>
      <c r="S44" s="18">
        <f t="shared" si="30"/>
        <v>0.37493242231552149</v>
      </c>
      <c r="T44" s="54"/>
      <c r="U44" s="18">
        <f t="shared" si="31"/>
        <v>-6.4541804429444865</v>
      </c>
      <c r="V44" s="53">
        <f t="shared" si="32"/>
        <v>-1.2379214626405695</v>
      </c>
      <c r="W44" s="18">
        <f t="shared" si="33"/>
        <v>1.562218426314675</v>
      </c>
      <c r="X44" s="54"/>
      <c r="Y44" s="19">
        <f t="shared" si="8"/>
        <v>-0.55862881888112348</v>
      </c>
      <c r="Z44" s="20">
        <f t="shared" si="5"/>
        <v>0.70497221404091837</v>
      </c>
      <c r="AA44" s="21" t="str">
        <f t="shared" si="34"/>
        <v/>
      </c>
      <c r="AB44" s="22" t="str">
        <f t="shared" si="35"/>
        <v/>
      </c>
    </row>
    <row r="45" spans="1:28" ht="15" customHeight="1">
      <c r="A45" s="5"/>
      <c r="B45" s="83"/>
      <c r="C45" s="73" t="s">
        <v>72</v>
      </c>
      <c r="D45" s="5"/>
      <c r="E45" s="5"/>
      <c r="F45" s="94"/>
      <c r="G45" s="5" t="s">
        <v>73</v>
      </c>
      <c r="H45" s="5"/>
      <c r="I45" s="96"/>
      <c r="J45" s="5" t="s">
        <v>74</v>
      </c>
      <c r="K45" s="5"/>
      <c r="L45" s="5"/>
      <c r="M45" s="5"/>
      <c r="N45" s="5"/>
      <c r="O45" s="106" t="str">
        <f t="shared" si="27"/>
        <v>C042–A030</v>
      </c>
      <c r="P45" s="107"/>
      <c r="Q45" s="101">
        <f t="shared" si="28"/>
        <v>-0.9406812912430943</v>
      </c>
      <c r="R45" s="101">
        <f t="shared" si="29"/>
        <v>0.90542316609731899</v>
      </c>
      <c r="S45" s="102">
        <f t="shared" si="30"/>
        <v>2.9236034120018697E-2</v>
      </c>
      <c r="T45" s="102"/>
      <c r="U45" s="102">
        <f t="shared" si="31"/>
        <v>-3.9195053801795599</v>
      </c>
      <c r="V45" s="101">
        <f t="shared" si="32"/>
        <v>-3.7725965254054961</v>
      </c>
      <c r="W45" s="102">
        <f t="shared" si="33"/>
        <v>0.12181680883341105</v>
      </c>
      <c r="X45" s="102"/>
      <c r="Y45" s="104">
        <f t="shared" si="8"/>
        <v>-1.7024352551468844</v>
      </c>
      <c r="Z45" s="105">
        <f t="shared" si="5"/>
        <v>5.4971484130600649E-2</v>
      </c>
      <c r="AA45" s="21" t="str">
        <f t="shared" si="34"/>
        <v/>
      </c>
      <c r="AB45" s="22" t="str">
        <f t="shared" si="35"/>
        <v/>
      </c>
    </row>
    <row r="46" spans="1:28" ht="15" customHeight="1">
      <c r="A46" s="5"/>
      <c r="B46" s="74" t="s">
        <v>75</v>
      </c>
      <c r="C46" s="74" t="s">
        <v>76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2" t="str">
        <f t="shared" si="27"/>
        <v>C042–A036</v>
      </c>
      <c r="P46" s="17"/>
      <c r="Q46" s="53">
        <f t="shared" si="28"/>
        <v>-1.1121482761932207</v>
      </c>
      <c r="R46" s="53">
        <f t="shared" si="29"/>
        <v>0.73395618114719263</v>
      </c>
      <c r="S46" s="18">
        <f t="shared" si="30"/>
        <v>0.16279567953723101</v>
      </c>
      <c r="T46" s="18"/>
      <c r="U46" s="18">
        <f t="shared" si="31"/>
        <v>-4.6339511508050863</v>
      </c>
      <c r="V46" s="53">
        <f t="shared" si="32"/>
        <v>-3.0581507547799696</v>
      </c>
      <c r="W46" s="18">
        <f t="shared" si="33"/>
        <v>0.67831533140513278</v>
      </c>
      <c r="X46" s="18"/>
      <c r="Y46" s="19">
        <f t="shared" si="8"/>
        <v>-1.3800319290523329</v>
      </c>
      <c r="Z46" s="20">
        <f t="shared" si="5"/>
        <v>0.30609897626585414</v>
      </c>
      <c r="AA46" s="21" t="str">
        <f t="shared" si="34"/>
        <v/>
      </c>
      <c r="AB46" s="22" t="str">
        <f t="shared" si="35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5" t="str">
        <f t="shared" si="27"/>
        <v>C042 w/o amine</v>
      </c>
      <c r="P47" s="76"/>
      <c r="Q47" s="77">
        <f t="shared" si="28"/>
        <v>-1.8461044573404133</v>
      </c>
      <c r="R47" s="78"/>
      <c r="S47" s="78">
        <f t="shared" si="30"/>
        <v>0.29435859347434312</v>
      </c>
      <c r="T47" s="78"/>
      <c r="U47" s="78">
        <f t="shared" si="31"/>
        <v>-7.6921019055850559</v>
      </c>
      <c r="V47" s="78">
        <f>-U47</f>
        <v>7.6921019055850559</v>
      </c>
      <c r="W47" s="78">
        <f t="shared" si="33"/>
        <v>1.2264941394764257</v>
      </c>
      <c r="X47" s="78"/>
      <c r="Y47" s="78">
        <f t="shared" si="8"/>
        <v>3.4711651198488518</v>
      </c>
      <c r="Z47" s="79">
        <f t="shared" si="5"/>
        <v>0.55347208460127517</v>
      </c>
      <c r="AA47" s="21"/>
      <c r="AB47" s="5"/>
    </row>
    <row r="48" spans="1:28">
      <c r="A48" s="5"/>
      <c r="B48" s="22" t="s">
        <v>77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80"/>
      <c r="Z48" s="80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80"/>
      <c r="Z49" s="80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80"/>
      <c r="Z50" s="80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80"/>
      <c r="Z51" s="80"/>
    </row>
    <row r="52" spans="15:26">
      <c r="O52" s="81"/>
      <c r="P52" s="17"/>
      <c r="Q52" s="18"/>
      <c r="R52" s="18"/>
      <c r="S52" s="18"/>
      <c r="T52" s="18"/>
      <c r="U52" s="18"/>
      <c r="V52" s="18"/>
      <c r="W52" s="18"/>
      <c r="X52" s="18"/>
      <c r="Y52" s="82"/>
      <c r="Z52" s="82"/>
    </row>
  </sheetData>
  <mergeCells count="42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7:F7"/>
    <mergeCell ref="E8:F8"/>
    <mergeCell ref="O11:R11"/>
    <mergeCell ref="B12:D12"/>
    <mergeCell ref="E12:G12"/>
    <mergeCell ref="H12:J12"/>
    <mergeCell ref="K12:M12"/>
    <mergeCell ref="O12:R12"/>
  </mergeCells>
  <conditionalFormatting sqref="E3 E7:E8">
    <cfRule type="expression" dxfId="3" priority="3">
      <formula>LEN(TRIM(E3))=0</formula>
    </cfRule>
  </conditionalFormatting>
  <conditionalFormatting sqref="E4">
    <cfRule type="expression" dxfId="2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topLeftCell="A19" zoomScaleNormal="100" workbookViewId="0">
      <selection activeCell="Q54" sqref="Q54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8" t="s">
        <v>2</v>
      </c>
      <c r="F3" s="12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98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5" t="s">
        <v>78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45">
        <v>44635</v>
      </c>
      <c r="F8" s="14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30" t="s">
        <v>14</v>
      </c>
      <c r="P11" s="130"/>
      <c r="Q11" s="130"/>
      <c r="R11" s="130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31" t="s">
        <v>79</v>
      </c>
      <c r="C12" s="131"/>
      <c r="D12" s="131"/>
      <c r="E12" s="132" t="s">
        <v>80</v>
      </c>
      <c r="F12" s="132"/>
      <c r="G12" s="132"/>
      <c r="H12" s="132" t="s">
        <v>81</v>
      </c>
      <c r="I12" s="132"/>
      <c r="J12" s="132"/>
      <c r="K12" s="133" t="s">
        <v>82</v>
      </c>
      <c r="L12" s="133"/>
      <c r="M12" s="133"/>
      <c r="N12" s="5"/>
      <c r="O12" s="134" t="s">
        <v>20</v>
      </c>
      <c r="P12" s="134"/>
      <c r="Q12" s="134"/>
      <c r="R12" s="134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35" t="s">
        <v>83</v>
      </c>
      <c r="C13" s="135"/>
      <c r="D13" s="135"/>
      <c r="E13" s="136" t="s">
        <v>84</v>
      </c>
      <c r="F13" s="136"/>
      <c r="G13" s="136"/>
      <c r="H13" s="136" t="s">
        <v>85</v>
      </c>
      <c r="I13" s="136"/>
      <c r="J13" s="136"/>
      <c r="K13" s="137" t="s">
        <v>86</v>
      </c>
      <c r="L13" s="137"/>
      <c r="M13" s="137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35" t="s">
        <v>87</v>
      </c>
      <c r="C14" s="135"/>
      <c r="D14" s="135"/>
      <c r="E14" s="136" t="s">
        <v>88</v>
      </c>
      <c r="F14" s="136"/>
      <c r="G14" s="136"/>
      <c r="H14" s="136" t="s">
        <v>89</v>
      </c>
      <c r="I14" s="136"/>
      <c r="J14" s="136"/>
      <c r="K14" s="137" t="s">
        <v>90</v>
      </c>
      <c r="L14" s="137"/>
      <c r="M14" s="137"/>
      <c r="N14" s="5"/>
      <c r="O14" s="138" t="s">
        <v>31</v>
      </c>
      <c r="P14" s="9"/>
      <c r="Q14" s="139" t="s">
        <v>32</v>
      </c>
      <c r="R14" s="139"/>
      <c r="S14" s="139"/>
      <c r="T14" s="10"/>
      <c r="U14" s="139" t="s">
        <v>33</v>
      </c>
      <c r="V14" s="139"/>
      <c r="W14" s="139"/>
      <c r="X14" s="10"/>
      <c r="Y14" s="140" t="s">
        <v>34</v>
      </c>
      <c r="Z14" s="140"/>
      <c r="AA14" s="141" t="s">
        <v>35</v>
      </c>
      <c r="AB14" s="141"/>
    </row>
    <row r="15" spans="1:28" ht="15" customHeight="1">
      <c r="A15" s="4" t="s">
        <v>36</v>
      </c>
      <c r="B15" s="135" t="s">
        <v>91</v>
      </c>
      <c r="C15" s="135"/>
      <c r="D15" s="135"/>
      <c r="E15" s="136" t="s">
        <v>92</v>
      </c>
      <c r="F15" s="136"/>
      <c r="G15" s="136"/>
      <c r="H15" s="136" t="s">
        <v>93</v>
      </c>
      <c r="I15" s="136"/>
      <c r="J15" s="136"/>
      <c r="K15" s="137" t="s">
        <v>94</v>
      </c>
      <c r="L15" s="137"/>
      <c r="M15" s="137"/>
      <c r="N15" s="5"/>
      <c r="O15" s="138"/>
      <c r="P15" s="108"/>
      <c r="Q15" s="11" t="s">
        <v>41</v>
      </c>
      <c r="R15" s="12" t="s">
        <v>42</v>
      </c>
      <c r="S15" s="13" t="s">
        <v>43</v>
      </c>
      <c r="T15" s="54"/>
      <c r="U15" s="11" t="s">
        <v>41</v>
      </c>
      <c r="V15" s="12" t="s">
        <v>42</v>
      </c>
      <c r="W15" s="13" t="s">
        <v>43</v>
      </c>
      <c r="X15" s="54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35" t="s">
        <v>95</v>
      </c>
      <c r="C16" s="135"/>
      <c r="D16" s="135"/>
      <c r="E16" s="136" t="s">
        <v>96</v>
      </c>
      <c r="F16" s="136"/>
      <c r="G16" s="136"/>
      <c r="H16" s="136" t="s">
        <v>97</v>
      </c>
      <c r="I16" s="136"/>
      <c r="J16" s="136"/>
      <c r="K16" s="137" t="s">
        <v>98</v>
      </c>
      <c r="L16" s="137"/>
      <c r="M16" s="137"/>
      <c r="N16" s="5"/>
      <c r="O16" s="16" t="str">
        <f t="shared" ref="O16:O23" si="0">B12</f>
        <v>C093–A001</v>
      </c>
      <c r="P16" s="17"/>
      <c r="Q16" s="18">
        <f t="shared" ref="Q16:Q23" si="1">AVERAGE(B36:D36)</f>
        <v>-0.92376836646500304</v>
      </c>
      <c r="R16" s="18">
        <f t="shared" ref="R16:R22" si="2">Q16-$Q$23</f>
        <v>0.50774992797464014</v>
      </c>
      <c r="S16" s="18">
        <f t="shared" ref="S16:S23" si="3">_xlfn.STDEV.P(B36:D36)</f>
        <v>0</v>
      </c>
      <c r="T16" s="18"/>
      <c r="U16" s="18">
        <f>AVERAGE((B36/B23))</f>
        <v>-3.8490348602708462</v>
      </c>
      <c r="V16" s="18">
        <f t="shared" ref="V16:V22" si="4">-(U16-$U$23)</f>
        <v>-2.1156246998943349</v>
      </c>
      <c r="W16" s="18">
        <f>_xlfn.STDEV.P((B36/B23))</f>
        <v>0</v>
      </c>
      <c r="X16" s="18"/>
      <c r="Y16" s="19">
        <f t="shared" ref="Y16:Y47" si="5">V16/($S$11*$S$12)*1000</f>
        <v>-0.95470428695592724</v>
      </c>
      <c r="Z16" s="20">
        <f t="shared" ref="Z16:Z47" si="6">W16/($S$11*$S$12)*1000</f>
        <v>0</v>
      </c>
      <c r="AA16" s="21" t="str">
        <f t="shared" ref="AA16" si="7">IF(AND(Y16&gt;(Z16*5),Y16&gt;($Y$31/2)),"Hit","")</f>
        <v/>
      </c>
      <c r="AB16" s="22" t="str">
        <f t="shared" ref="AB16" si="8">IF(AND(Y16&gt;(Z16*3),Y16&gt;($Y$31/2)),"Hit","")</f>
        <v/>
      </c>
    </row>
    <row r="17" spans="1:28" ht="15" customHeight="1">
      <c r="A17" s="4" t="s">
        <v>51</v>
      </c>
      <c r="B17" s="135" t="s">
        <v>99</v>
      </c>
      <c r="C17" s="135"/>
      <c r="D17" s="135"/>
      <c r="E17" s="136" t="s">
        <v>100</v>
      </c>
      <c r="F17" s="136"/>
      <c r="G17" s="136"/>
      <c r="H17" s="136" t="s">
        <v>101</v>
      </c>
      <c r="I17" s="136"/>
      <c r="J17" s="136"/>
      <c r="K17" s="137" t="s">
        <v>102</v>
      </c>
      <c r="L17" s="137"/>
      <c r="M17" s="137"/>
      <c r="N17" s="5"/>
      <c r="O17" s="16" t="str">
        <f t="shared" si="0"/>
        <v>C093–A002</v>
      </c>
      <c r="P17" s="17"/>
      <c r="Q17" s="18">
        <f t="shared" si="1"/>
        <v>-0.90849624782208738</v>
      </c>
      <c r="R17" s="18">
        <f t="shared" si="2"/>
        <v>0.5230220466175558</v>
      </c>
      <c r="S17" s="18">
        <f t="shared" si="3"/>
        <v>0.40793085906111853</v>
      </c>
      <c r="T17" s="18"/>
      <c r="U17" s="18">
        <f t="shared" ref="U16:U23" si="9">AVERAGE((B37/B24),(C37/C24),(D37/D24))</f>
        <v>-3.7854010325920306</v>
      </c>
      <c r="V17" s="18">
        <f t="shared" si="4"/>
        <v>-2.1792585275731504</v>
      </c>
      <c r="W17" s="18">
        <f t="shared" ref="W16:W23" si="10">_xlfn.STDEV.P((B37/B24),(C37/C24),(D37/D24))</f>
        <v>1.699711912754662</v>
      </c>
      <c r="X17" s="18"/>
      <c r="Y17" s="19">
        <f t="shared" si="5"/>
        <v>-0.98341991316477917</v>
      </c>
      <c r="Z17" s="20">
        <f t="shared" si="6"/>
        <v>0.76701801117087631</v>
      </c>
      <c r="AA17" s="21" t="str">
        <f t="shared" ref="AA17:AA22" si="11">IF(AND(Y17&gt;(Z17*5),Y17&gt;($Y$23/2)),"Hit","")</f>
        <v/>
      </c>
      <c r="AB17" s="22" t="str">
        <f t="shared" ref="AB17:AB22" si="12">IF(AND(Y17&gt;(Z17*3),Y17&gt;($Y$23/2)),"Hit","")</f>
        <v/>
      </c>
    </row>
    <row r="18" spans="1:28" ht="15" customHeight="1">
      <c r="A18" s="4" t="s">
        <v>56</v>
      </c>
      <c r="B18" s="135" t="s">
        <v>103</v>
      </c>
      <c r="C18" s="135"/>
      <c r="D18" s="135"/>
      <c r="E18" s="136" t="s">
        <v>104</v>
      </c>
      <c r="F18" s="136"/>
      <c r="G18" s="136"/>
      <c r="H18" s="136" t="s">
        <v>105</v>
      </c>
      <c r="I18" s="136"/>
      <c r="J18" s="136"/>
      <c r="K18" s="137" t="s">
        <v>106</v>
      </c>
      <c r="L18" s="137"/>
      <c r="M18" s="137"/>
      <c r="N18" s="5"/>
      <c r="O18" s="16" t="str">
        <f t="shared" si="0"/>
        <v>C093–A006</v>
      </c>
      <c r="P18" s="17"/>
      <c r="Q18" s="18">
        <f t="shared" si="1"/>
        <v>-8.132691278759363E-2</v>
      </c>
      <c r="R18" s="18">
        <f t="shared" si="2"/>
        <v>1.3501913816520497</v>
      </c>
      <c r="S18" s="18">
        <f t="shared" si="3"/>
        <v>0.66679845220676393</v>
      </c>
      <c r="T18" s="18"/>
      <c r="U18" s="18">
        <f t="shared" si="9"/>
        <v>-0.33886213661497361</v>
      </c>
      <c r="V18" s="18">
        <f t="shared" si="4"/>
        <v>-5.6257974235502077</v>
      </c>
      <c r="W18" s="18">
        <f t="shared" si="10"/>
        <v>2.7783268841948501</v>
      </c>
      <c r="X18" s="18"/>
      <c r="Y18" s="19">
        <f t="shared" si="5"/>
        <v>-2.538717248894498</v>
      </c>
      <c r="Z18" s="20">
        <f t="shared" si="6"/>
        <v>1.2537576192215028</v>
      </c>
      <c r="AA18" s="21" t="str">
        <f t="shared" si="11"/>
        <v/>
      </c>
      <c r="AB18" s="22" t="str">
        <f t="shared" si="12"/>
        <v/>
      </c>
    </row>
    <row r="19" spans="1:28" ht="15" customHeight="1">
      <c r="A19" s="4" t="s">
        <v>61</v>
      </c>
      <c r="B19" s="142" t="s">
        <v>107</v>
      </c>
      <c r="C19" s="142"/>
      <c r="D19" s="142"/>
      <c r="E19" s="143" t="s">
        <v>108</v>
      </c>
      <c r="F19" s="143"/>
      <c r="G19" s="143"/>
      <c r="H19" s="143" t="s">
        <v>109</v>
      </c>
      <c r="I19" s="143"/>
      <c r="J19" s="143"/>
      <c r="K19" s="144" t="s">
        <v>110</v>
      </c>
      <c r="L19" s="144"/>
      <c r="M19" s="144"/>
      <c r="N19" s="5"/>
      <c r="O19" s="16" t="str">
        <f t="shared" si="0"/>
        <v>C093–A011</v>
      </c>
      <c r="P19" s="17"/>
      <c r="Q19" s="18">
        <f t="shared" si="1"/>
        <v>-1.8020441481115703</v>
      </c>
      <c r="R19" s="18">
        <f t="shared" si="2"/>
        <v>-0.37052585367192714</v>
      </c>
      <c r="S19" s="18">
        <f t="shared" si="3"/>
        <v>2.0441427560710825</v>
      </c>
      <c r="T19" s="18"/>
      <c r="U19" s="18">
        <f t="shared" si="9"/>
        <v>-7.5085172837982093</v>
      </c>
      <c r="V19" s="18">
        <f t="shared" si="4"/>
        <v>1.5438577236330282</v>
      </c>
      <c r="W19" s="18">
        <f t="shared" si="10"/>
        <v>8.5172614836295111</v>
      </c>
      <c r="X19" s="18"/>
      <c r="Y19" s="19">
        <f t="shared" si="5"/>
        <v>0.69668669839035569</v>
      </c>
      <c r="Z19" s="20">
        <f t="shared" si="6"/>
        <v>3.8435295503743281</v>
      </c>
      <c r="AA19" s="21" t="str">
        <f t="shared" si="11"/>
        <v/>
      </c>
      <c r="AB19" s="22" t="str">
        <f t="shared" si="12"/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C093–A025</v>
      </c>
      <c r="P20" s="17"/>
      <c r="Q20" s="18">
        <f t="shared" si="1"/>
        <v>-0.92934930238302593</v>
      </c>
      <c r="R20" s="18">
        <f t="shared" si="2"/>
        <v>0.50216899205661725</v>
      </c>
      <c r="S20" s="18">
        <f t="shared" si="3"/>
        <v>1.100795410846928</v>
      </c>
      <c r="T20" s="18"/>
      <c r="U20" s="18">
        <f t="shared" si="9"/>
        <v>-3.8722887599292748</v>
      </c>
      <c r="V20" s="18">
        <f t="shared" si="4"/>
        <v>-2.0923708002359063</v>
      </c>
      <c r="W20" s="18">
        <f t="shared" si="10"/>
        <v>4.5866475451955333</v>
      </c>
      <c r="X20" s="18"/>
      <c r="Y20" s="19">
        <f t="shared" si="5"/>
        <v>-0.9442106499259505</v>
      </c>
      <c r="Z20" s="20">
        <f t="shared" si="6"/>
        <v>2.0697867983734355</v>
      </c>
      <c r="AA20" s="21" t="str">
        <f t="shared" si="11"/>
        <v/>
      </c>
      <c r="AB20" s="22" t="str">
        <f t="shared" si="12"/>
        <v/>
      </c>
    </row>
    <row r="21" spans="1:28" ht="15" customHeight="1">
      <c r="A21" s="2" t="s">
        <v>66</v>
      </c>
      <c r="B21" s="5"/>
      <c r="C21" s="5"/>
      <c r="D21" s="5"/>
      <c r="E21" s="28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C093–A030</v>
      </c>
      <c r="P21" s="17"/>
      <c r="Q21" s="18">
        <f t="shared" si="1"/>
        <v>-0.1132320862658095</v>
      </c>
      <c r="R21" s="18">
        <f t="shared" si="2"/>
        <v>1.3182862081738338</v>
      </c>
      <c r="S21" s="18">
        <f t="shared" si="3"/>
        <v>0.65130674568876445</v>
      </c>
      <c r="T21" s="18"/>
      <c r="U21" s="18">
        <f>AVERAGE((C41/C28),(D41/D28))</f>
        <v>-0.47180035944087284</v>
      </c>
      <c r="V21" s="18">
        <f>-(U21-$U$23)</f>
        <v>-5.4928592007243084</v>
      </c>
      <c r="W21" s="18">
        <f>_xlfn.STDEV.P((C41/C28),(D41/D28))</f>
        <v>2.7137781070365183</v>
      </c>
      <c r="X21" s="18"/>
      <c r="Y21" s="19">
        <f>V21/($S$11*$S$12)*1000</f>
        <v>-2.4787270761391285</v>
      </c>
      <c r="Z21" s="20">
        <f t="shared" si="6"/>
        <v>1.2246291096735191</v>
      </c>
      <c r="AA21" s="21" t="str">
        <f t="shared" si="11"/>
        <v/>
      </c>
      <c r="AB21" s="22" t="str">
        <f t="shared" si="12"/>
        <v/>
      </c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C093–A036</v>
      </c>
      <c r="P22" s="17"/>
      <c r="Q22" s="18">
        <f t="shared" si="1"/>
        <v>-0.15751738897806755</v>
      </c>
      <c r="R22" s="18">
        <f t="shared" si="2"/>
        <v>1.2740009054615755</v>
      </c>
      <c r="S22" s="18">
        <f t="shared" si="3"/>
        <v>0.23553525126557945</v>
      </c>
      <c r="T22" s="18"/>
      <c r="U22" s="18">
        <f>AVERAGE((B42/B29),(C42/C29))</f>
        <v>-0.65632245407528145</v>
      </c>
      <c r="V22" s="18">
        <f t="shared" si="4"/>
        <v>-5.3083371060898994</v>
      </c>
      <c r="W22" s="18">
        <f>_xlfn.STDEV.P((B42/B29),(C42/C29))</f>
        <v>0.98139688027324767</v>
      </c>
      <c r="X22" s="18"/>
      <c r="Y22" s="19">
        <f t="shared" si="5"/>
        <v>-2.3954589828925537</v>
      </c>
      <c r="Z22" s="20">
        <f t="shared" si="6"/>
        <v>0.44286862828215146</v>
      </c>
      <c r="AA22" s="21" t="str">
        <f t="shared" si="11"/>
        <v/>
      </c>
      <c r="AB22" s="22" t="str">
        <f t="shared" si="12"/>
        <v/>
      </c>
    </row>
    <row r="23" spans="1:28" ht="15" customHeight="1">
      <c r="A23" s="4" t="s">
        <v>15</v>
      </c>
      <c r="B23" s="29">
        <v>0.24</v>
      </c>
      <c r="C23" s="30">
        <v>0.24</v>
      </c>
      <c r="D23" s="30">
        <v>0.24</v>
      </c>
      <c r="E23" s="30">
        <v>0.24</v>
      </c>
      <c r="F23" s="30">
        <v>0.24</v>
      </c>
      <c r="G23" s="30">
        <v>0.24</v>
      </c>
      <c r="H23" s="30">
        <v>0.24</v>
      </c>
      <c r="I23" s="30">
        <v>0.24</v>
      </c>
      <c r="J23" s="30">
        <v>0.24</v>
      </c>
      <c r="K23" s="30">
        <v>0.24</v>
      </c>
      <c r="L23" s="30">
        <v>0.24</v>
      </c>
      <c r="M23" s="31">
        <v>0.24</v>
      </c>
      <c r="N23" s="5"/>
      <c r="O23" s="32" t="str">
        <f t="shared" si="0"/>
        <v>C093 w/o amine</v>
      </c>
      <c r="P23" s="33"/>
      <c r="Q23" s="34">
        <f t="shared" si="1"/>
        <v>-1.4315182944396432</v>
      </c>
      <c r="R23" s="34"/>
      <c r="S23" s="34">
        <f t="shared" si="3"/>
        <v>0.26446034912071442</v>
      </c>
      <c r="T23" s="34"/>
      <c r="U23" s="34">
        <f t="shared" si="9"/>
        <v>-5.9646595601651811</v>
      </c>
      <c r="V23" s="34">
        <f>-U23</f>
        <v>5.9646595601651811</v>
      </c>
      <c r="W23" s="34">
        <f t="shared" si="10"/>
        <v>1.1019181213363061</v>
      </c>
      <c r="X23" s="34"/>
      <c r="Y23" s="34">
        <f t="shared" si="5"/>
        <v>2.6916333755258037</v>
      </c>
      <c r="Z23" s="35">
        <f t="shared" si="6"/>
        <v>0.49725546991710562</v>
      </c>
      <c r="AA23" s="21"/>
      <c r="AB23" s="5"/>
    </row>
    <row r="24" spans="1:28" ht="15" customHeight="1">
      <c r="A24" s="4" t="s">
        <v>21</v>
      </c>
      <c r="B24" s="36">
        <v>0.24</v>
      </c>
      <c r="C24" s="37">
        <v>0.24</v>
      </c>
      <c r="D24" s="37">
        <v>0.24</v>
      </c>
      <c r="E24" s="37">
        <v>0.24</v>
      </c>
      <c r="F24" s="37">
        <v>0.24</v>
      </c>
      <c r="G24" s="37">
        <v>0.24</v>
      </c>
      <c r="H24" s="37">
        <v>0.24</v>
      </c>
      <c r="I24" s="37">
        <v>0.24</v>
      </c>
      <c r="J24" s="37">
        <v>0.24</v>
      </c>
      <c r="K24" s="37">
        <v>0.24</v>
      </c>
      <c r="L24" s="37">
        <v>0.24</v>
      </c>
      <c r="M24" s="38">
        <v>0.24</v>
      </c>
      <c r="N24" s="5"/>
      <c r="O24" s="16" t="str">
        <f t="shared" ref="O24:O31" si="13">E12</f>
        <v>C028–A001</v>
      </c>
      <c r="P24" s="108"/>
      <c r="Q24" s="53">
        <f t="shared" ref="Q24:Q31" si="14">AVERAGE(E36:G36)</f>
        <v>-2.1836605342223234</v>
      </c>
      <c r="R24" s="53">
        <f t="shared" ref="R24:R30" si="15">Q24-$Q$31</f>
        <v>-0.68051748501185005</v>
      </c>
      <c r="S24" s="18">
        <f t="shared" ref="S24:S31" si="16">_xlfn.STDEV.P(E36:G36)</f>
        <v>0.56890810304737705</v>
      </c>
      <c r="T24" s="108"/>
      <c r="U24" s="18">
        <f t="shared" ref="U24:U31" si="17">AVERAGE((E36/E23),(F36/F23),(G36/G23))</f>
        <v>-9.0985855592596803</v>
      </c>
      <c r="V24" s="53">
        <f t="shared" ref="V24:V30" si="18">-(U24-$U$31)</f>
        <v>2.8354895208827084</v>
      </c>
      <c r="W24" s="18">
        <f t="shared" ref="W24:W31" si="19">_xlfn.STDEV.P((E36/E23),(F36/F23),(G36/G23))</f>
        <v>2.3704504293640647</v>
      </c>
      <c r="X24" s="108"/>
      <c r="Y24" s="19">
        <f t="shared" si="5"/>
        <v>1.2795530328893088</v>
      </c>
      <c r="Z24" s="20">
        <f t="shared" si="6"/>
        <v>1.0696978471859497</v>
      </c>
      <c r="AA24" s="21" t="str">
        <f t="shared" ref="AA24:AA30" si="20">IF(AND(Y24&gt;(Z24*5),Y24&gt;($Y$31/2)),"Hit","")</f>
        <v/>
      </c>
      <c r="AB24" s="22" t="str">
        <f t="shared" ref="AB24:AB30" si="21">IF(AND(Y24&gt;(Z24*3),Y24&gt;($Y$31/2)),"Hit","")</f>
        <v/>
      </c>
    </row>
    <row r="25" spans="1:28" ht="15" customHeight="1">
      <c r="A25" s="4" t="s">
        <v>26</v>
      </c>
      <c r="B25" s="36">
        <v>0.24</v>
      </c>
      <c r="C25" s="37">
        <v>0.24</v>
      </c>
      <c r="D25" s="37">
        <v>0.24</v>
      </c>
      <c r="E25" s="37">
        <v>0.24</v>
      </c>
      <c r="F25" s="37">
        <v>0.24</v>
      </c>
      <c r="G25" s="37">
        <v>0.24</v>
      </c>
      <c r="H25" s="37">
        <v>0.24</v>
      </c>
      <c r="I25" s="37">
        <v>0.24</v>
      </c>
      <c r="J25" s="37">
        <v>0.24</v>
      </c>
      <c r="K25" s="37">
        <v>0.24</v>
      </c>
      <c r="L25" s="37">
        <v>0.24</v>
      </c>
      <c r="M25" s="38">
        <v>0.24</v>
      </c>
      <c r="N25" s="5"/>
      <c r="O25" s="111" t="str">
        <f t="shared" si="13"/>
        <v>C028–A002</v>
      </c>
      <c r="P25" s="112"/>
      <c r="Q25" s="113">
        <f t="shared" si="14"/>
        <v>-2.7190956359495666</v>
      </c>
      <c r="R25" s="113">
        <f t="shared" si="15"/>
        <v>-1.2159525867390932</v>
      </c>
      <c r="S25" s="114">
        <f t="shared" si="16"/>
        <v>0.13181800480993791</v>
      </c>
      <c r="T25" s="112"/>
      <c r="U25" s="114">
        <f t="shared" si="17"/>
        <v>-11.329565149789863</v>
      </c>
      <c r="V25" s="113">
        <f t="shared" si="18"/>
        <v>5.066469111412891</v>
      </c>
      <c r="W25" s="114">
        <f t="shared" si="19"/>
        <v>0.54924168670807383</v>
      </c>
      <c r="X25" s="112"/>
      <c r="Y25" s="115">
        <f t="shared" si="5"/>
        <v>2.2863127759083444</v>
      </c>
      <c r="Z25" s="116">
        <f t="shared" si="6"/>
        <v>0.24785274670941962</v>
      </c>
      <c r="AA25" s="21" t="str">
        <f t="shared" si="20"/>
        <v>Hit</v>
      </c>
      <c r="AB25" s="22" t="str">
        <f t="shared" si="21"/>
        <v>Hit</v>
      </c>
    </row>
    <row r="26" spans="1:28" ht="15" customHeight="1">
      <c r="A26" s="4" t="s">
        <v>36</v>
      </c>
      <c r="B26" s="36">
        <v>0.24</v>
      </c>
      <c r="C26" s="37">
        <v>0.24</v>
      </c>
      <c r="D26" s="37">
        <v>0.24</v>
      </c>
      <c r="E26" s="37">
        <v>0.24</v>
      </c>
      <c r="F26" s="37">
        <v>0.24</v>
      </c>
      <c r="G26" s="37">
        <v>0.24</v>
      </c>
      <c r="H26" s="37">
        <v>0.24</v>
      </c>
      <c r="I26" s="37">
        <v>0.24</v>
      </c>
      <c r="J26" s="37">
        <v>0.24</v>
      </c>
      <c r="K26" s="37">
        <v>0.24</v>
      </c>
      <c r="L26" s="37">
        <v>0.24</v>
      </c>
      <c r="M26" s="38">
        <v>0.24</v>
      </c>
      <c r="N26" s="5"/>
      <c r="O26" s="16" t="str">
        <f t="shared" si="13"/>
        <v>C028–A006</v>
      </c>
      <c r="P26" s="108"/>
      <c r="Q26" s="53">
        <f t="shared" si="14"/>
        <v>-1.3787106775870799</v>
      </c>
      <c r="R26" s="53">
        <f t="shared" si="15"/>
        <v>0.12443237162339349</v>
      </c>
      <c r="S26" s="18">
        <f t="shared" si="16"/>
        <v>7.6060146170796594E-2</v>
      </c>
      <c r="T26" s="108"/>
      <c r="U26" s="18">
        <f t="shared" si="17"/>
        <v>-5.7446278232795001</v>
      </c>
      <c r="V26" s="53">
        <f t="shared" si="18"/>
        <v>-0.51846821509747176</v>
      </c>
      <c r="W26" s="18">
        <f t="shared" si="19"/>
        <v>0.31691727571165262</v>
      </c>
      <c r="X26" s="108"/>
      <c r="Y26" s="19">
        <f t="shared" si="5"/>
        <v>-0.23396580103676523</v>
      </c>
      <c r="Z26" s="20">
        <f t="shared" si="6"/>
        <v>0.14301321106121509</v>
      </c>
      <c r="AA26" s="21" t="str">
        <f t="shared" si="20"/>
        <v/>
      </c>
      <c r="AB26" s="22" t="str">
        <f t="shared" si="21"/>
        <v/>
      </c>
    </row>
    <row r="27" spans="1:28" ht="15" customHeight="1">
      <c r="A27" s="4" t="s">
        <v>46</v>
      </c>
      <c r="B27" s="36">
        <v>0.24</v>
      </c>
      <c r="C27" s="37">
        <v>0.24</v>
      </c>
      <c r="D27" s="37">
        <v>0.24</v>
      </c>
      <c r="E27" s="37">
        <v>0.24</v>
      </c>
      <c r="F27" s="37">
        <v>0.24</v>
      </c>
      <c r="G27" s="37">
        <v>0.24</v>
      </c>
      <c r="H27" s="37">
        <v>0.24</v>
      </c>
      <c r="I27" s="37">
        <v>0.24</v>
      </c>
      <c r="J27" s="37">
        <v>0.24</v>
      </c>
      <c r="K27" s="37">
        <v>0.24</v>
      </c>
      <c r="L27" s="37">
        <v>0.24</v>
      </c>
      <c r="M27" s="38">
        <v>0.24</v>
      </c>
      <c r="N27" s="5"/>
      <c r="O27" s="111" t="str">
        <f t="shared" si="13"/>
        <v>C028–A011</v>
      </c>
      <c r="P27" s="112"/>
      <c r="Q27" s="113">
        <f t="shared" si="14"/>
        <v>-14.822510822510834</v>
      </c>
      <c r="R27" s="113">
        <f t="shared" si="15"/>
        <v>-13.31936777330036</v>
      </c>
      <c r="S27" s="114">
        <f t="shared" si="16"/>
        <v>9.9796460837556333E-2</v>
      </c>
      <c r="T27" s="112"/>
      <c r="U27" s="114">
        <f>AVERAGE((E39/E26),(F39/F26),(G39/G26))</f>
        <v>-61.760461760461801</v>
      </c>
      <c r="V27" s="113">
        <f t="shared" si="18"/>
        <v>55.49736572208483</v>
      </c>
      <c r="W27" s="114">
        <f t="shared" si="19"/>
        <v>0.41581858682315076</v>
      </c>
      <c r="X27" s="112"/>
      <c r="Y27" s="115">
        <f>V27/($S$11*$S$12)*1000</f>
        <v>25.043937600218786</v>
      </c>
      <c r="Z27" s="116">
        <f t="shared" si="6"/>
        <v>0.18764376661694529</v>
      </c>
      <c r="AA27" s="21" t="str">
        <f t="shared" si="20"/>
        <v>Hit</v>
      </c>
      <c r="AB27" s="22" t="str">
        <f t="shared" si="21"/>
        <v>Hit</v>
      </c>
    </row>
    <row r="28" spans="1:28" ht="15" customHeight="1">
      <c r="A28" s="4" t="s">
        <v>51</v>
      </c>
      <c r="B28" s="36">
        <v>0.24</v>
      </c>
      <c r="C28" s="37">
        <v>0.24</v>
      </c>
      <c r="D28" s="37">
        <v>0.24</v>
      </c>
      <c r="E28" s="37">
        <v>0.24</v>
      </c>
      <c r="F28" s="37">
        <v>0.24</v>
      </c>
      <c r="G28" s="37">
        <v>0.24</v>
      </c>
      <c r="H28" s="37">
        <v>0.24</v>
      </c>
      <c r="I28" s="37">
        <v>0.24</v>
      </c>
      <c r="J28" s="37">
        <v>0.24</v>
      </c>
      <c r="K28" s="37">
        <v>0.24</v>
      </c>
      <c r="L28" s="37">
        <v>0.24</v>
      </c>
      <c r="M28" s="38">
        <v>0.24</v>
      </c>
      <c r="N28" s="5"/>
      <c r="O28" s="99" t="str">
        <f t="shared" si="13"/>
        <v>C028–A025</v>
      </c>
      <c r="P28" s="103"/>
      <c r="Q28" s="101">
        <f t="shared" si="14"/>
        <v>-2.0651438449191297</v>
      </c>
      <c r="R28" s="101">
        <f t="shared" si="15"/>
        <v>-0.56200079570865635</v>
      </c>
      <c r="S28" s="102">
        <f t="shared" si="16"/>
        <v>0.99104889440522848</v>
      </c>
      <c r="T28" s="103"/>
      <c r="U28" s="102">
        <f t="shared" si="17"/>
        <v>-8.6047660204963758</v>
      </c>
      <c r="V28" s="101">
        <f t="shared" si="18"/>
        <v>2.341669982119404</v>
      </c>
      <c r="W28" s="102">
        <f t="shared" si="19"/>
        <v>4.1293703933551207</v>
      </c>
      <c r="X28" s="103"/>
      <c r="Y28" s="104">
        <f t="shared" si="5"/>
        <v>1.0567102807398034</v>
      </c>
      <c r="Z28" s="105">
        <f t="shared" si="6"/>
        <v>1.863434293030289</v>
      </c>
      <c r="AA28" s="21" t="str">
        <f t="shared" si="20"/>
        <v/>
      </c>
      <c r="AB28" s="22" t="str">
        <f t="shared" si="21"/>
        <v/>
      </c>
    </row>
    <row r="29" spans="1:28" ht="15" customHeight="1">
      <c r="A29" s="4" t="s">
        <v>56</v>
      </c>
      <c r="B29" s="36">
        <v>0.24</v>
      </c>
      <c r="C29" s="37">
        <v>0.24</v>
      </c>
      <c r="D29" s="37">
        <v>0.24</v>
      </c>
      <c r="E29" s="37">
        <v>0.24</v>
      </c>
      <c r="F29" s="37">
        <v>0.24</v>
      </c>
      <c r="G29" s="37">
        <v>0.24</v>
      </c>
      <c r="H29" s="37">
        <v>0.24</v>
      </c>
      <c r="I29" s="37">
        <v>0.24</v>
      </c>
      <c r="J29" s="37">
        <v>0.24</v>
      </c>
      <c r="K29" s="37">
        <v>0.24</v>
      </c>
      <c r="L29" s="37">
        <v>0.24</v>
      </c>
      <c r="M29" s="38">
        <v>0.24</v>
      </c>
      <c r="N29" s="5"/>
      <c r="O29" s="99" t="str">
        <f t="shared" si="13"/>
        <v>C028–A030</v>
      </c>
      <c r="P29" s="100"/>
      <c r="Q29" s="101">
        <f t="shared" si="14"/>
        <v>-0.81415812651767594</v>
      </c>
      <c r="R29" s="101">
        <f t="shared" si="15"/>
        <v>0.68898492269279743</v>
      </c>
      <c r="S29" s="102">
        <f t="shared" si="16"/>
        <v>0.18059604312390692</v>
      </c>
      <c r="T29" s="103"/>
      <c r="U29" s="102">
        <f t="shared" si="17"/>
        <v>-3.392325527156983</v>
      </c>
      <c r="V29" s="101">
        <f t="shared" si="18"/>
        <v>-2.8707705112199888</v>
      </c>
      <c r="W29" s="102">
        <f t="shared" si="19"/>
        <v>0.75248351301627936</v>
      </c>
      <c r="X29" s="103"/>
      <c r="Y29" s="104">
        <f t="shared" si="5"/>
        <v>-1.2954740574097423</v>
      </c>
      <c r="Z29" s="105">
        <f t="shared" si="6"/>
        <v>0.33956837229976505</v>
      </c>
      <c r="AA29" s="21" t="str">
        <f t="shared" si="20"/>
        <v/>
      </c>
      <c r="AB29" s="22" t="str">
        <f t="shared" si="21"/>
        <v/>
      </c>
    </row>
    <row r="30" spans="1:28" ht="15" customHeight="1">
      <c r="A30" s="4" t="s">
        <v>61</v>
      </c>
      <c r="B30" s="43">
        <v>0.24</v>
      </c>
      <c r="C30" s="44">
        <v>0.24</v>
      </c>
      <c r="D30" s="44">
        <v>0.24</v>
      </c>
      <c r="E30" s="44">
        <v>0.24</v>
      </c>
      <c r="F30" s="44">
        <v>0.24</v>
      </c>
      <c r="G30" s="44">
        <v>0.24</v>
      </c>
      <c r="H30" s="44">
        <v>0.24</v>
      </c>
      <c r="I30" s="44">
        <v>0.24</v>
      </c>
      <c r="J30" s="44">
        <v>0.24</v>
      </c>
      <c r="K30" s="44">
        <v>0.24</v>
      </c>
      <c r="L30" s="44">
        <v>0.24</v>
      </c>
      <c r="M30" s="45">
        <v>0.24</v>
      </c>
      <c r="N30" s="5"/>
      <c r="O30" s="16" t="str">
        <f t="shared" si="13"/>
        <v>C028–A036</v>
      </c>
      <c r="P30" s="46"/>
      <c r="Q30" s="53">
        <f t="shared" si="14"/>
        <v>-0.8901565351003583</v>
      </c>
      <c r="R30" s="53">
        <f t="shared" si="15"/>
        <v>0.61298651411011507</v>
      </c>
      <c r="S30" s="18">
        <f t="shared" si="16"/>
        <v>7.8586662455924994E-2</v>
      </c>
      <c r="T30" s="46"/>
      <c r="U30" s="18">
        <f t="shared" si="17"/>
        <v>-3.7089855629181598</v>
      </c>
      <c r="V30" s="53">
        <f t="shared" si="18"/>
        <v>-2.554110475458812</v>
      </c>
      <c r="W30" s="18">
        <f t="shared" si="19"/>
        <v>0.32744442689968739</v>
      </c>
      <c r="X30" s="46"/>
      <c r="Y30" s="19">
        <f t="shared" si="5"/>
        <v>-1.1525769293586696</v>
      </c>
      <c r="Z30" s="20">
        <f t="shared" si="6"/>
        <v>0.14776373055040046</v>
      </c>
      <c r="AA30" s="21" t="str">
        <f t="shared" si="20"/>
        <v/>
      </c>
      <c r="AB30" s="22" t="str">
        <f t="shared" si="21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2" t="str">
        <f t="shared" si="13"/>
        <v>C028 w/o amine</v>
      </c>
      <c r="P31" s="33"/>
      <c r="Q31" s="47">
        <f t="shared" si="14"/>
        <v>-1.5031430492104734</v>
      </c>
      <c r="R31" s="47"/>
      <c r="S31" s="34">
        <f t="shared" si="16"/>
        <v>0.24969337482845022</v>
      </c>
      <c r="T31" s="48"/>
      <c r="U31" s="34">
        <f t="shared" si="17"/>
        <v>-6.2630960383769718</v>
      </c>
      <c r="V31" s="49">
        <f>-U31</f>
        <v>6.2630960383769718</v>
      </c>
      <c r="W31" s="34">
        <f t="shared" si="19"/>
        <v>1.040389061785209</v>
      </c>
      <c r="X31" s="48"/>
      <c r="Y31" s="34">
        <f t="shared" si="5"/>
        <v>2.8263068765239043</v>
      </c>
      <c r="Z31" s="35">
        <f t="shared" si="6"/>
        <v>0.46948964882004013</v>
      </c>
      <c r="AA31" s="21"/>
      <c r="AB31" s="5"/>
    </row>
    <row r="32" spans="1:28" ht="15" customHeight="1">
      <c r="A32" s="5"/>
      <c r="B32" s="50"/>
      <c r="C32" s="51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2" t="str">
        <f t="shared" ref="O32:O39" si="22">H12</f>
        <v>C037–A001</v>
      </c>
      <c r="P32" s="108"/>
      <c r="Q32" s="53">
        <f t="shared" ref="Q32:Q39" si="23">AVERAGE(H36:J36)</f>
        <v>-1.5242924366519766</v>
      </c>
      <c r="R32" s="53">
        <f t="shared" ref="R32:R38" si="24">Q32-$Q$39</f>
        <v>-0.16122703763152968</v>
      </c>
      <c r="S32" s="18">
        <f t="shared" ref="S32:S39" si="25">_xlfn.STDEV.P(H36:J36)</f>
        <v>0.23373266971788825</v>
      </c>
      <c r="T32" s="54"/>
      <c r="U32" s="18">
        <f t="shared" ref="U32:U39" si="26">AVERAGE((H36/H23),(I36/I23),(J36/J23))</f>
        <v>-6.3512184860499028</v>
      </c>
      <c r="V32" s="53">
        <f t="shared" ref="V32:V38" si="27">-(U32-$U$39)</f>
        <v>0.67177932346470648</v>
      </c>
      <c r="W32" s="18">
        <f t="shared" ref="W32:W39" si="28">_xlfn.STDEV.P((H36/H23),(I36/I23),(J36/J23))</f>
        <v>0.97388612382452966</v>
      </c>
      <c r="X32" s="54"/>
      <c r="Y32" s="19">
        <f t="shared" si="5"/>
        <v>0.30314951419887476</v>
      </c>
      <c r="Z32" s="20">
        <f t="shared" si="6"/>
        <v>0.43947929775475164</v>
      </c>
      <c r="AA32" s="21" t="str">
        <f t="shared" ref="AA32:AA38" si="29">IF(AND(Y32&gt;(Z32*5),Y32&gt;($Y$39/2)),"Hit","")</f>
        <v/>
      </c>
      <c r="AB32" s="22" t="str">
        <f t="shared" ref="AB32:AB38" si="30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2" t="str">
        <f t="shared" si="22"/>
        <v>C037–A002</v>
      </c>
      <c r="P33" s="17"/>
      <c r="Q33" s="53">
        <f t="shared" si="23"/>
        <v>-3.3603984030950365</v>
      </c>
      <c r="R33" s="53">
        <f t="shared" si="24"/>
        <v>-1.9973330040745896</v>
      </c>
      <c r="S33" s="18">
        <f t="shared" si="25"/>
        <v>1.6936801935757713</v>
      </c>
      <c r="T33" s="18"/>
      <c r="U33" s="18">
        <f t="shared" si="26"/>
        <v>-14.001660012895988</v>
      </c>
      <c r="V33" s="53">
        <f t="shared" si="27"/>
        <v>8.3222208503107922</v>
      </c>
      <c r="W33" s="18">
        <f t="shared" si="28"/>
        <v>7.0570008065657115</v>
      </c>
      <c r="X33" s="18"/>
      <c r="Y33" s="19">
        <f t="shared" si="5"/>
        <v>3.7555148241474692</v>
      </c>
      <c r="Z33" s="20">
        <f t="shared" si="6"/>
        <v>3.1845671509773066</v>
      </c>
      <c r="AA33" s="21" t="str">
        <f t="shared" si="29"/>
        <v/>
      </c>
      <c r="AB33" s="22" t="str">
        <f t="shared" si="30"/>
        <v/>
      </c>
    </row>
    <row r="34" spans="1:28" ht="15" customHeight="1">
      <c r="A34" s="2" t="s">
        <v>69</v>
      </c>
      <c r="B34" s="5"/>
      <c r="C34" s="5"/>
      <c r="D34" s="5"/>
      <c r="E34" s="28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52" t="str">
        <f t="shared" si="22"/>
        <v>C037–A006</v>
      </c>
      <c r="P34" s="17"/>
      <c r="Q34" s="53">
        <f t="shared" si="23"/>
        <v>-1.2202384382159639</v>
      </c>
      <c r="R34" s="53">
        <f t="shared" si="24"/>
        <v>0.14282696080448298</v>
      </c>
      <c r="S34" s="18">
        <f t="shared" si="25"/>
        <v>0.25366040242043181</v>
      </c>
      <c r="T34" s="18"/>
      <c r="U34" s="18">
        <f t="shared" si="26"/>
        <v>-5.0843268258998506</v>
      </c>
      <c r="V34" s="53">
        <f t="shared" si="27"/>
        <v>-0.59511233668534569</v>
      </c>
      <c r="W34" s="18">
        <f t="shared" si="28"/>
        <v>1.0569183434184592</v>
      </c>
      <c r="X34" s="18"/>
      <c r="Y34" s="19">
        <f t="shared" si="5"/>
        <v>-0.26855249850421736</v>
      </c>
      <c r="Z34" s="20">
        <f t="shared" si="6"/>
        <v>0.47694871092890756</v>
      </c>
      <c r="AA34" s="21" t="str">
        <f t="shared" si="29"/>
        <v/>
      </c>
      <c r="AB34" s="22" t="str">
        <f t="shared" si="30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117" t="str">
        <f t="shared" si="22"/>
        <v>C037–A011</v>
      </c>
      <c r="P35" s="118"/>
      <c r="Q35" s="113">
        <f t="shared" si="23"/>
        <v>-4.8433524029029664</v>
      </c>
      <c r="R35" s="113">
        <f t="shared" si="24"/>
        <v>-3.4802870038825198</v>
      </c>
      <c r="S35" s="114">
        <f t="shared" si="25"/>
        <v>0.28060237737911103</v>
      </c>
      <c r="T35" s="114"/>
      <c r="U35" s="114">
        <f t="shared" si="26"/>
        <v>-20.180635012095692</v>
      </c>
      <c r="V35" s="113">
        <f t="shared" si="27"/>
        <v>14.501195849510495</v>
      </c>
      <c r="W35" s="114">
        <f t="shared" si="28"/>
        <v>1.1691765724129619</v>
      </c>
      <c r="X35" s="114"/>
      <c r="Y35" s="115">
        <f t="shared" si="5"/>
        <v>6.5438609429198991</v>
      </c>
      <c r="Z35" s="116">
        <f t="shared" si="6"/>
        <v>0.52760675650404421</v>
      </c>
      <c r="AA35" s="21" t="str">
        <f t="shared" si="29"/>
        <v>Hit</v>
      </c>
      <c r="AB35" s="22" t="str">
        <f t="shared" si="30"/>
        <v>Hit</v>
      </c>
    </row>
    <row r="36" spans="1:28" ht="15" customHeight="1">
      <c r="A36" s="4" t="s">
        <v>15</v>
      </c>
      <c r="B36" s="56">
        <v>-0.92376836646500304</v>
      </c>
      <c r="C36" s="93" t="s">
        <v>71</v>
      </c>
      <c r="D36" s="126" t="s">
        <v>71</v>
      </c>
      <c r="E36" s="57">
        <v>-2.9221714614973</v>
      </c>
      <c r="F36" s="57">
        <v>-1.53793472445159</v>
      </c>
      <c r="G36" s="57">
        <v>-2.0908754167180801</v>
      </c>
      <c r="H36" s="57">
        <v>-1.2241182038934799</v>
      </c>
      <c r="I36" s="57">
        <v>-1.79424620323495</v>
      </c>
      <c r="J36" s="57">
        <v>-1.5545129028275</v>
      </c>
      <c r="K36" s="57">
        <v>-1.16653084742972</v>
      </c>
      <c r="L36" s="57">
        <v>-1.19180145696998</v>
      </c>
      <c r="M36" s="58">
        <v>-1.02918055727046</v>
      </c>
      <c r="N36" s="5"/>
      <c r="O36" s="106" t="str">
        <f t="shared" si="22"/>
        <v>C037–A025</v>
      </c>
      <c r="P36" s="107"/>
      <c r="Q36" s="101">
        <f t="shared" si="23"/>
        <v>-1.1160006036410401</v>
      </c>
      <c r="R36" s="101">
        <f t="shared" si="24"/>
        <v>0.24706479537940673</v>
      </c>
      <c r="S36" s="102">
        <f t="shared" si="25"/>
        <v>0.45136999685945933</v>
      </c>
      <c r="T36" s="102"/>
      <c r="U36" s="102">
        <f t="shared" si="26"/>
        <v>-4.6500025151710016</v>
      </c>
      <c r="V36" s="101">
        <f t="shared" si="27"/>
        <v>-1.0294366474141947</v>
      </c>
      <c r="W36" s="102">
        <f t="shared" si="28"/>
        <v>1.8807083202477459</v>
      </c>
      <c r="X36" s="102"/>
      <c r="Y36" s="104">
        <f t="shared" si="5"/>
        <v>-0.46454722356236222</v>
      </c>
      <c r="Z36" s="105">
        <f t="shared" si="6"/>
        <v>0.8486950903645063</v>
      </c>
      <c r="AA36" s="21" t="str">
        <f t="shared" si="29"/>
        <v/>
      </c>
      <c r="AB36" s="22" t="str">
        <f t="shared" si="30"/>
        <v/>
      </c>
    </row>
    <row r="37" spans="1:28" ht="15" customHeight="1">
      <c r="A37" s="4" t="s">
        <v>21</v>
      </c>
      <c r="B37" s="59">
        <v>-1.29838251636004</v>
      </c>
      <c r="C37" s="60">
        <v>-1.0817961065152</v>
      </c>
      <c r="D37" s="60">
        <v>-0.34531012059102201</v>
      </c>
      <c r="E37" s="60">
        <v>-2.8411244186525102</v>
      </c>
      <c r="F37" s="60">
        <v>-2.7801292340618202</v>
      </c>
      <c r="G37" s="60">
        <v>-2.5360332551343698</v>
      </c>
      <c r="H37" s="60">
        <v>-2.22908177964359</v>
      </c>
      <c r="I37" s="60">
        <v>-5.7544223566695401</v>
      </c>
      <c r="J37" s="60">
        <v>-2.0976910729719802</v>
      </c>
      <c r="K37" s="60">
        <v>-1.18822899946495</v>
      </c>
      <c r="L37" s="60">
        <v>-1.4770712433633699</v>
      </c>
      <c r="M37" s="61">
        <v>-1.19130756883566</v>
      </c>
      <c r="N37" s="5"/>
      <c r="O37" s="106" t="str">
        <f t="shared" si="22"/>
        <v>C037–A030</v>
      </c>
      <c r="P37" s="107"/>
      <c r="Q37" s="101">
        <f t="shared" si="23"/>
        <v>-0.8545691511983633</v>
      </c>
      <c r="R37" s="101">
        <f t="shared" si="24"/>
        <v>0.50849624782208358</v>
      </c>
      <c r="S37" s="102">
        <f t="shared" si="25"/>
        <v>6.0160685735219585E-2</v>
      </c>
      <c r="T37" s="102"/>
      <c r="U37" s="102">
        <f t="shared" si="26"/>
        <v>-3.5607047966598473</v>
      </c>
      <c r="V37" s="101">
        <f t="shared" si="27"/>
        <v>-2.118734365925349</v>
      </c>
      <c r="W37" s="102">
        <f t="shared" si="28"/>
        <v>0.25066952389674835</v>
      </c>
      <c r="X37" s="102"/>
      <c r="Y37" s="104">
        <f t="shared" si="5"/>
        <v>-0.95610756585078926</v>
      </c>
      <c r="Z37" s="105">
        <f t="shared" si="6"/>
        <v>0.11311801619889367</v>
      </c>
      <c r="AA37" s="21" t="str">
        <f t="shared" si="29"/>
        <v/>
      </c>
      <c r="AB37" s="22" t="str">
        <f t="shared" si="30"/>
        <v/>
      </c>
    </row>
    <row r="38" spans="1:28" ht="15" customHeight="1">
      <c r="A38" s="4" t="s">
        <v>26</v>
      </c>
      <c r="B38" s="59">
        <v>-0.27086471580854299</v>
      </c>
      <c r="C38" s="60">
        <v>-0.78654977980820695</v>
      </c>
      <c r="D38" s="60">
        <v>0.81343375725396905</v>
      </c>
      <c r="E38" s="60">
        <v>-1.47830596369921</v>
      </c>
      <c r="F38" s="60">
        <v>-1.29372350495947</v>
      </c>
      <c r="G38" s="60">
        <v>-1.3641025641025599</v>
      </c>
      <c r="H38" s="60">
        <v>-1.3930279458369399</v>
      </c>
      <c r="I38" s="60">
        <v>-0.86158785035188201</v>
      </c>
      <c r="J38" s="60">
        <v>-1.4060995184590701</v>
      </c>
      <c r="K38" s="60">
        <v>-0.90236654731036403</v>
      </c>
      <c r="L38" s="60">
        <v>-0.85897024323992199</v>
      </c>
      <c r="M38" s="61">
        <v>-1.0642466148084</v>
      </c>
      <c r="N38" s="5"/>
      <c r="O38" s="52" t="str">
        <f t="shared" si="22"/>
        <v>C037–A036</v>
      </c>
      <c r="P38" s="17"/>
      <c r="Q38" s="53">
        <f t="shared" si="23"/>
        <v>-1.1666515756403399</v>
      </c>
      <c r="R38" s="53">
        <f t="shared" si="24"/>
        <v>0.19641382338010693</v>
      </c>
      <c r="S38" s="18">
        <f t="shared" si="25"/>
        <v>3.8086747977492078E-2</v>
      </c>
      <c r="T38" s="18"/>
      <c r="U38" s="18">
        <f t="shared" si="26"/>
        <v>-4.8610482318347508</v>
      </c>
      <c r="V38" s="53">
        <f t="shared" si="27"/>
        <v>-0.81839093075044556</v>
      </c>
      <c r="W38" s="18">
        <f t="shared" si="28"/>
        <v>0.15869478323955022</v>
      </c>
      <c r="X38" s="18"/>
      <c r="Y38" s="19">
        <f t="shared" si="5"/>
        <v>-0.36930998680074256</v>
      </c>
      <c r="Z38" s="20">
        <f t="shared" si="6"/>
        <v>7.1613169331927004E-2</v>
      </c>
      <c r="AA38" s="21" t="str">
        <f t="shared" si="29"/>
        <v/>
      </c>
      <c r="AB38" s="22" t="str">
        <f t="shared" si="30"/>
        <v/>
      </c>
    </row>
    <row r="39" spans="1:28" ht="15" customHeight="1">
      <c r="A39" s="4" t="s">
        <v>36</v>
      </c>
      <c r="B39" s="59">
        <v>0.66024612092026902</v>
      </c>
      <c r="C39" s="60">
        <v>-1.7214635551714199</v>
      </c>
      <c r="D39" s="60">
        <v>-4.3449150100835601</v>
      </c>
      <c r="E39" s="95">
        <v>-14.7298701298701</v>
      </c>
      <c r="F39" s="95">
        <v>-14.7766233766234</v>
      </c>
      <c r="G39" s="95">
        <v>-14.961038961039</v>
      </c>
      <c r="H39" s="60">
        <v>-4.4467218175083296</v>
      </c>
      <c r="I39" s="60">
        <v>-5.0526073177758599</v>
      </c>
      <c r="J39" s="60">
        <v>-5.0307280734247097</v>
      </c>
      <c r="K39" s="60">
        <v>-2.21441330205375</v>
      </c>
      <c r="L39" s="60">
        <v>-1.7272914351566</v>
      </c>
      <c r="M39" s="61">
        <v>-2.2344816232456601</v>
      </c>
      <c r="N39" s="5"/>
      <c r="O39" s="62" t="str">
        <f t="shared" si="22"/>
        <v>C037 w/o amine</v>
      </c>
      <c r="P39" s="33"/>
      <c r="Q39" s="47">
        <f t="shared" si="23"/>
        <v>-1.3630653990204469</v>
      </c>
      <c r="R39" s="34"/>
      <c r="S39" s="34">
        <f t="shared" si="25"/>
        <v>0.41531555045767982</v>
      </c>
      <c r="T39" s="34"/>
      <c r="U39" s="34">
        <f t="shared" si="26"/>
        <v>-5.6794391625851963</v>
      </c>
      <c r="V39" s="34">
        <f>-U39</f>
        <v>5.6794391625851963</v>
      </c>
      <c r="W39" s="34">
        <f t="shared" si="28"/>
        <v>1.7304814602403302</v>
      </c>
      <c r="X39" s="34"/>
      <c r="Y39" s="34">
        <f t="shared" si="5"/>
        <v>2.5629238098308647</v>
      </c>
      <c r="Z39" s="35">
        <f t="shared" si="6"/>
        <v>0.78090318602902986</v>
      </c>
      <c r="AA39" s="21"/>
      <c r="AB39" s="5"/>
    </row>
    <row r="40" spans="1:28" ht="15" customHeight="1">
      <c r="A40" s="4" t="s">
        <v>46</v>
      </c>
      <c r="B40" s="59">
        <v>-2.41208379635348</v>
      </c>
      <c r="C40" s="60">
        <v>-0.59877351113309296</v>
      </c>
      <c r="D40" s="60">
        <v>0.22280940033749499</v>
      </c>
      <c r="E40" s="60">
        <v>-1.3489237354405801</v>
      </c>
      <c r="F40" s="60">
        <v>-1.3799234473391799</v>
      </c>
      <c r="G40" s="60">
        <v>-3.4665843519776298</v>
      </c>
      <c r="H40" s="60">
        <v>-1.3506358809729599</v>
      </c>
      <c r="I40" s="60">
        <v>-1.51279581841379</v>
      </c>
      <c r="J40" s="60">
        <v>-0.48457011153637097</v>
      </c>
      <c r="K40" s="60">
        <v>-0.81568917973412802</v>
      </c>
      <c r="L40" s="60">
        <v>-0.82043050582375998</v>
      </c>
      <c r="M40" s="61">
        <v>-0.78971066386796196</v>
      </c>
      <c r="N40" s="5"/>
      <c r="O40" s="52" t="str">
        <f t="shared" ref="O40:O47" si="31">K12</f>
        <v>C054–A001</v>
      </c>
      <c r="P40" s="17"/>
      <c r="Q40" s="53">
        <f t="shared" ref="Q40:Q47" si="32">AVERAGE(K36:M36)</f>
        <v>-1.1291709538900534</v>
      </c>
      <c r="R40" s="53">
        <f t="shared" ref="R40:R46" si="33">Q40-$Q$47</f>
        <v>-8.0284260059533263E-3</v>
      </c>
      <c r="S40" s="18">
        <f t="shared" ref="S40:S47" si="34">_xlfn.STDEV.P(K36:M36)</f>
        <v>7.1452597287720562E-2</v>
      </c>
      <c r="T40" s="18"/>
      <c r="U40" s="18">
        <f t="shared" ref="U40:U47" si="35">AVERAGE((K36/K23),(L36/L23),(M36/M23))</f>
        <v>-4.7048789745418889</v>
      </c>
      <c r="V40" s="53">
        <f t="shared" ref="V40:V46" si="36">-(U40-$U$47)</f>
        <v>3.3451775024805563E-2</v>
      </c>
      <c r="W40" s="18">
        <f t="shared" ref="W40:W47" si="37">_xlfn.STDEV.P((K36/K23),(L36/L23),(M36/M23))</f>
        <v>0.29771915536550214</v>
      </c>
      <c r="X40" s="18"/>
      <c r="Y40" s="19">
        <f t="shared" si="5"/>
        <v>1.5095566346933919E-2</v>
      </c>
      <c r="Z40" s="20">
        <f t="shared" si="6"/>
        <v>0.13434979935266342</v>
      </c>
      <c r="AA40" s="21" t="str">
        <f t="shared" ref="AA40:AA46" si="38">IF(AND(Y40&gt;(Z40*5),Y40&gt;($Y$47/2)),"Hit","")</f>
        <v/>
      </c>
      <c r="AB40" s="22" t="str">
        <f t="shared" ref="AB40:AB46" si="39">IF(AND(Y40&gt;(Z40*3),Y40&gt;($Y$47/2)),"Hit","")</f>
        <v/>
      </c>
    </row>
    <row r="41" spans="1:28" ht="15" customHeight="1">
      <c r="A41" s="4" t="s">
        <v>51</v>
      </c>
      <c r="B41" s="127" t="s">
        <v>71</v>
      </c>
      <c r="C41" s="60">
        <v>0.53807465942295496</v>
      </c>
      <c r="D41" s="60">
        <v>-0.76453883195457395</v>
      </c>
      <c r="E41" s="60">
        <v>-0.64559410626826497</v>
      </c>
      <c r="F41" s="60">
        <v>-0.73227147384450297</v>
      </c>
      <c r="G41" s="60">
        <v>-1.06460879944026</v>
      </c>
      <c r="H41" s="60">
        <v>-0.93891426925134802</v>
      </c>
      <c r="I41" s="60">
        <v>-0.822060336667088</v>
      </c>
      <c r="J41" s="60">
        <v>-0.80273284767665398</v>
      </c>
      <c r="K41" s="60">
        <v>-0.451380828908924</v>
      </c>
      <c r="L41" s="60">
        <v>-0.427526032020425</v>
      </c>
      <c r="M41" s="61">
        <v>-1.2712186689714799</v>
      </c>
      <c r="N41" s="5"/>
      <c r="O41" s="52" t="str">
        <f t="shared" si="31"/>
        <v>C054–A002</v>
      </c>
      <c r="P41" s="108"/>
      <c r="Q41" s="53">
        <f t="shared" si="32"/>
        <v>-1.2855359372213266</v>
      </c>
      <c r="R41" s="53">
        <f t="shared" si="33"/>
        <v>-0.16439340933722657</v>
      </c>
      <c r="S41" s="18">
        <f t="shared" si="34"/>
        <v>0.13544174521797753</v>
      </c>
      <c r="T41" s="108"/>
      <c r="U41" s="18">
        <f t="shared" si="35"/>
        <v>-5.3563997384221942</v>
      </c>
      <c r="V41" s="53">
        <f t="shared" si="36"/>
        <v>0.68497253890511089</v>
      </c>
      <c r="W41" s="18">
        <f t="shared" si="37"/>
        <v>0.56434060507490669</v>
      </c>
      <c r="X41" s="108"/>
      <c r="Y41" s="19">
        <f t="shared" si="5"/>
        <v>0.30910313127486955</v>
      </c>
      <c r="Z41" s="20">
        <f t="shared" si="6"/>
        <v>0.25466633803019256</v>
      </c>
      <c r="AA41" s="21" t="str">
        <f t="shared" si="38"/>
        <v/>
      </c>
      <c r="AB41" s="22" t="str">
        <f t="shared" si="39"/>
        <v/>
      </c>
    </row>
    <row r="42" spans="1:28" ht="15" customHeight="1">
      <c r="A42" s="4" t="s">
        <v>56</v>
      </c>
      <c r="B42" s="59">
        <v>-0.393052640243647</v>
      </c>
      <c r="C42" s="60">
        <v>7.8017862287511897E-2</v>
      </c>
      <c r="D42" s="109" t="s">
        <v>71</v>
      </c>
      <c r="E42" s="60">
        <v>-0.90137877104169495</v>
      </c>
      <c r="F42" s="60">
        <v>-0.78878873935053995</v>
      </c>
      <c r="G42" s="60">
        <v>-0.98030209490884002</v>
      </c>
      <c r="H42" s="60">
        <v>-1.22051282051282</v>
      </c>
      <c r="I42" s="60">
        <v>-1.1400749063670399</v>
      </c>
      <c r="J42" s="60">
        <v>-1.13936700004116</v>
      </c>
      <c r="K42" s="60">
        <v>-3.2951063917356</v>
      </c>
      <c r="L42" s="60">
        <v>-0.64353623904186197</v>
      </c>
      <c r="M42" s="61">
        <v>-0.63670411985018105</v>
      </c>
      <c r="N42" s="5"/>
      <c r="O42" s="52" t="str">
        <f t="shared" si="31"/>
        <v>C054–A006</v>
      </c>
      <c r="P42" s="46"/>
      <c r="Q42" s="53">
        <f t="shared" si="32"/>
        <v>-0.94186113511956204</v>
      </c>
      <c r="R42" s="53">
        <f t="shared" si="33"/>
        <v>0.17928139276453803</v>
      </c>
      <c r="S42" s="18">
        <f t="shared" si="34"/>
        <v>8.8334455454798982E-2</v>
      </c>
      <c r="T42" s="46"/>
      <c r="U42" s="18">
        <f t="shared" si="35"/>
        <v>-3.9244213963315082</v>
      </c>
      <c r="V42" s="53">
        <f t="shared" si="36"/>
        <v>-0.74700580318557508</v>
      </c>
      <c r="W42" s="18">
        <f t="shared" si="37"/>
        <v>0.36806023106166225</v>
      </c>
      <c r="X42" s="46"/>
      <c r="Y42" s="19">
        <f t="shared" si="5"/>
        <v>-0.33709648158193822</v>
      </c>
      <c r="Z42" s="20">
        <f t="shared" si="6"/>
        <v>0.16609216203143601</v>
      </c>
      <c r="AA42" s="21" t="str">
        <f t="shared" si="38"/>
        <v/>
      </c>
      <c r="AB42" s="22" t="str">
        <f t="shared" si="39"/>
        <v/>
      </c>
    </row>
    <row r="43" spans="1:28" ht="15" customHeight="1" thickBot="1">
      <c r="A43" s="4" t="s">
        <v>61</v>
      </c>
      <c r="B43" s="63">
        <v>-1.2563690990657199</v>
      </c>
      <c r="C43" s="64">
        <v>-1.8052763715685101</v>
      </c>
      <c r="D43" s="64">
        <v>-1.2329094126847</v>
      </c>
      <c r="E43" s="64">
        <v>-1.22243898423674</v>
      </c>
      <c r="F43" s="64">
        <v>-1.82903239083016</v>
      </c>
      <c r="G43" s="64">
        <v>-1.4579577725645201</v>
      </c>
      <c r="H43" s="64">
        <v>-0.776211054862741</v>
      </c>
      <c r="I43" s="64">
        <v>-1.6772770300859901</v>
      </c>
      <c r="J43" s="64">
        <v>-1.63570811211261</v>
      </c>
      <c r="K43" s="64">
        <v>-1.0495946001564</v>
      </c>
      <c r="L43" s="64">
        <v>-1.19790920689796</v>
      </c>
      <c r="M43" s="65">
        <v>-1.11592377659794</v>
      </c>
      <c r="N43" s="5"/>
      <c r="O43" s="119" t="str">
        <f t="shared" si="31"/>
        <v>C054–A011</v>
      </c>
      <c r="P43" s="120"/>
      <c r="Q43" s="121">
        <f t="shared" si="32"/>
        <v>-2.0587287868186701</v>
      </c>
      <c r="R43" s="121">
        <f t="shared" si="33"/>
        <v>-0.93758625893457004</v>
      </c>
      <c r="S43" s="122">
        <f t="shared" si="34"/>
        <v>0.23450475892319581</v>
      </c>
      <c r="T43" s="123"/>
      <c r="U43" s="122">
        <f t="shared" si="35"/>
        <v>-8.5780366117444586</v>
      </c>
      <c r="V43" s="121">
        <f t="shared" si="36"/>
        <v>3.9066094122273753</v>
      </c>
      <c r="W43" s="122">
        <f t="shared" si="37"/>
        <v>0.97710316217999005</v>
      </c>
      <c r="X43" s="123"/>
      <c r="Y43" s="124">
        <f t="shared" si="5"/>
        <v>1.7629103845791405</v>
      </c>
      <c r="Z43" s="125">
        <f t="shared" si="6"/>
        <v>0.44093102986461646</v>
      </c>
      <c r="AA43" s="21" t="str">
        <f t="shared" si="38"/>
        <v/>
      </c>
      <c r="AB43" s="22" t="str">
        <f t="shared" si="39"/>
        <v>Hit</v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106" t="str">
        <f t="shared" si="31"/>
        <v>C054–A025</v>
      </c>
      <c r="P44" s="103"/>
      <c r="Q44" s="101">
        <f t="shared" si="32"/>
        <v>-0.80861011647528336</v>
      </c>
      <c r="R44" s="101">
        <f t="shared" si="33"/>
        <v>0.31253241140881671</v>
      </c>
      <c r="S44" s="102">
        <f t="shared" si="34"/>
        <v>1.3503382907364258E-2</v>
      </c>
      <c r="T44" s="110"/>
      <c r="U44" s="102">
        <f t="shared" si="35"/>
        <v>-3.3692088186470137</v>
      </c>
      <c r="V44" s="101">
        <f t="shared" si="36"/>
        <v>-1.3022183808700696</v>
      </c>
      <c r="W44" s="102">
        <f t="shared" si="37"/>
        <v>5.6264095447351004E-2</v>
      </c>
      <c r="X44" s="110"/>
      <c r="Y44" s="104">
        <f t="shared" si="5"/>
        <v>-0.58764367367782921</v>
      </c>
      <c r="Z44" s="105">
        <f t="shared" si="6"/>
        <v>2.5389934768660201E-2</v>
      </c>
      <c r="AA44" s="21" t="str">
        <f t="shared" si="38"/>
        <v/>
      </c>
      <c r="AB44" s="22" t="str">
        <f t="shared" si="39"/>
        <v/>
      </c>
    </row>
    <row r="45" spans="1:28" ht="15" customHeight="1">
      <c r="A45" s="5"/>
      <c r="B45" s="83"/>
      <c r="C45" s="73" t="s">
        <v>72</v>
      </c>
      <c r="D45" s="5"/>
      <c r="E45" s="5"/>
      <c r="F45" s="96"/>
      <c r="G45" s="5" t="s">
        <v>74</v>
      </c>
      <c r="H45" s="5"/>
      <c r="I45" s="5"/>
      <c r="J45" s="94"/>
      <c r="K45" s="5" t="s">
        <v>73</v>
      </c>
      <c r="L45" s="5"/>
      <c r="M45" s="5"/>
      <c r="N45" s="5"/>
      <c r="O45" s="106" t="str">
        <f t="shared" si="31"/>
        <v>C054–A030</v>
      </c>
      <c r="P45" s="107"/>
      <c r="Q45" s="101">
        <f t="shared" si="32"/>
        <v>-0.71670850996694302</v>
      </c>
      <c r="R45" s="101">
        <f t="shared" si="33"/>
        <v>0.40443401791715705</v>
      </c>
      <c r="S45" s="102">
        <f t="shared" si="34"/>
        <v>0.39221881661735319</v>
      </c>
      <c r="T45" s="102"/>
      <c r="U45" s="102">
        <f t="shared" si="35"/>
        <v>-2.9862854581955958</v>
      </c>
      <c r="V45" s="101">
        <f t="shared" si="36"/>
        <v>-1.6851417413214875</v>
      </c>
      <c r="W45" s="102">
        <f t="shared" si="37"/>
        <v>1.6342450692389727</v>
      </c>
      <c r="X45" s="102"/>
      <c r="Y45" s="104">
        <f t="shared" si="5"/>
        <v>-0.76044302406204312</v>
      </c>
      <c r="Z45" s="105">
        <f t="shared" si="6"/>
        <v>0.73747521175043895</v>
      </c>
      <c r="AA45" s="21" t="str">
        <f t="shared" si="38"/>
        <v/>
      </c>
      <c r="AB45" s="22" t="str">
        <f t="shared" si="39"/>
        <v/>
      </c>
    </row>
    <row r="46" spans="1:28" ht="15" customHeight="1">
      <c r="A46" s="5"/>
      <c r="B46" s="74" t="s">
        <v>75</v>
      </c>
      <c r="C46" s="74" t="s">
        <v>76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2" t="str">
        <f t="shared" si="31"/>
        <v>C054–A036</v>
      </c>
      <c r="P46" s="17"/>
      <c r="Q46" s="53">
        <f t="shared" si="32"/>
        <v>-1.5251155835425478</v>
      </c>
      <c r="R46" s="53">
        <f t="shared" si="33"/>
        <v>-0.40397305565844777</v>
      </c>
      <c r="S46" s="18">
        <f t="shared" si="34"/>
        <v>1.2515756110543446</v>
      </c>
      <c r="T46" s="18"/>
      <c r="U46" s="18">
        <f t="shared" si="35"/>
        <v>-6.3546482647606162</v>
      </c>
      <c r="V46" s="53">
        <f t="shared" si="36"/>
        <v>1.6832210652435329</v>
      </c>
      <c r="W46" s="18">
        <f t="shared" si="37"/>
        <v>5.2148983793931016</v>
      </c>
      <c r="X46" s="18"/>
      <c r="Y46" s="19">
        <f t="shared" si="5"/>
        <v>0.75957629297993356</v>
      </c>
      <c r="Z46" s="20">
        <f t="shared" si="6"/>
        <v>2.3532934925059124</v>
      </c>
      <c r="AA46" s="21" t="str">
        <f t="shared" si="38"/>
        <v/>
      </c>
      <c r="AB46" s="22" t="str">
        <f t="shared" si="39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5" t="str">
        <f t="shared" si="31"/>
        <v>C054 w/o amine</v>
      </c>
      <c r="P47" s="76"/>
      <c r="Q47" s="77">
        <f t="shared" si="32"/>
        <v>-1.1211425278841001</v>
      </c>
      <c r="R47" s="78"/>
      <c r="S47" s="78">
        <f t="shared" si="34"/>
        <v>6.0661531835620466E-2</v>
      </c>
      <c r="T47" s="78"/>
      <c r="U47" s="78">
        <f t="shared" si="35"/>
        <v>-4.6714271995170833</v>
      </c>
      <c r="V47" s="78">
        <f>-U47</f>
        <v>4.6714271995170833</v>
      </c>
      <c r="W47" s="78">
        <f t="shared" si="37"/>
        <v>0.25275638264841854</v>
      </c>
      <c r="X47" s="78"/>
      <c r="Y47" s="78">
        <f t="shared" si="5"/>
        <v>2.1080447651250376</v>
      </c>
      <c r="Z47" s="79">
        <f t="shared" si="6"/>
        <v>0.11405973946228273</v>
      </c>
      <c r="AA47" s="21"/>
      <c r="AB47" s="5"/>
    </row>
    <row r="48" spans="1:28">
      <c r="A48" s="5"/>
      <c r="B48" s="22" t="s">
        <v>77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80"/>
      <c r="Z48" s="80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80"/>
      <c r="Z49" s="80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80"/>
      <c r="Z50" s="80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80"/>
      <c r="Z51" s="80"/>
    </row>
    <row r="52" spans="15:26">
      <c r="O52" s="81"/>
      <c r="P52" s="17"/>
      <c r="Q52" s="18"/>
      <c r="R52" s="18"/>
      <c r="S52" s="18"/>
      <c r="T52" s="18"/>
      <c r="U52" s="18"/>
      <c r="V52" s="18"/>
      <c r="W52" s="18"/>
      <c r="X52" s="18"/>
      <c r="Y52" s="82"/>
      <c r="Z52" s="82"/>
    </row>
  </sheetData>
  <mergeCells count="41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8:F8"/>
    <mergeCell ref="O11:R11"/>
    <mergeCell ref="B12:D12"/>
    <mergeCell ref="E12:G12"/>
    <mergeCell ref="H12:J12"/>
    <mergeCell ref="K12:M12"/>
    <mergeCell ref="O12:R12"/>
  </mergeCells>
  <conditionalFormatting sqref="E3">
    <cfRule type="expression" dxfId="1" priority="3">
      <formula>LEN(TRIM(E3))=0</formula>
    </cfRule>
  </conditionalFormatting>
  <conditionalFormatting sqref="E4 E8">
    <cfRule type="expression" dxfId="0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joerg</dc:creator>
  <cp:keywords/>
  <dc:description/>
  <cp:lastModifiedBy>Sarah Berger</cp:lastModifiedBy>
  <cp:revision>2</cp:revision>
  <dcterms:created xsi:type="dcterms:W3CDTF">2021-03-18T15:08:46Z</dcterms:created>
  <dcterms:modified xsi:type="dcterms:W3CDTF">2022-04-12T17:54:06Z</dcterms:modified>
  <cp:category/>
  <cp:contentStatus/>
</cp:coreProperties>
</file>