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3.tif" ContentType="image/tiff"/>
  <Override PartName="/xl/media/image4.tif" ContentType="image/tif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te 1" sheetId="1" state="visible" r:id="rId2"/>
    <sheet name="Plat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<sst xmlns="http://schemas.openxmlformats.org/spreadsheetml/2006/main" count="199" uniqueCount="111">
  <si>
    <r>
      <rPr>
        <b val="true"/>
        <sz val="14"/>
        <color rgb="FF325596"/>
        <rFont val="Calibri"/>
        <family val="2"/>
        <charset val="1"/>
      </rPr>
      <t xml:space="preserve">BioRedAm Activity Assay</t>
    </r>
    <r>
      <rPr>
        <b val="true"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 xml:space="preserve">| Spectrophotometric Determination of NADPH Consumption</t>
    </r>
  </si>
  <si>
    <t xml:space="preserve">Enzyme:</t>
  </si>
  <si>
    <t xml:space="preserve">IR00205</t>
  </si>
  <si>
    <t xml:space="preserve">Assay Method:</t>
  </si>
  <si>
    <t xml:space="preserve">photometric, robotic pipetting</t>
  </si>
  <si>
    <t xml:space="preserve">Assay Conditions:</t>
  </si>
  <si>
    <t xml:space="preserve">50 mM carbonyl compound, 50 mM amine (exception: A001, 500 mM), 2 mM NADPH, 1 mg/mL IRED (crude lysate), 10% (v/v) DMSO, bicine–NaOH buffer (100 mM, pH 8.0)</t>
  </si>
  <si>
    <t xml:space="preserve">Instrument Settings:</t>
  </si>
  <si>
    <t xml:space="preserve">FLUOstar Omega plate reader; wavelength 370 nm; 30 °C, 1 h, measurement interval 30 s, pathlength mean of previous inital screening pathlenghts</t>
  </si>
  <si>
    <t xml:space="preserve">Lab Journal Code:</t>
  </si>
  <si>
    <t xml:space="preserve">GRC-GD-098</t>
  </si>
  <si>
    <t xml:space="preserve">Experiment Date:</t>
  </si>
  <si>
    <t xml:space="preserve">Plate Layout:</t>
  </si>
  <si>
    <t xml:space="preserve">Analysis:</t>
  </si>
  <si>
    <r>
      <rPr>
        <b val="true"/>
        <i val="true"/>
        <sz val="11"/>
        <color rgb="FF000000"/>
        <rFont val="Calibri"/>
        <family val="2"/>
        <charset val="1"/>
      </rPr>
      <t xml:space="preserve">ε</t>
    </r>
    <r>
      <rPr>
        <b val="true"/>
        <vertAlign val="subscript"/>
        <sz val="11"/>
        <color rgb="FF000000"/>
        <rFont val="Calibri"/>
        <family val="2"/>
        <charset val="1"/>
      </rPr>
      <t xml:space="preserve">370</t>
    </r>
    <r>
      <rPr>
        <b val="true"/>
        <sz val="11"/>
        <color rgb="FF000000"/>
        <rFont val="Calibri"/>
        <family val="2"/>
        <charset val="1"/>
      </rPr>
      <t xml:space="preserve">(NADPH) [M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 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]:</t>
    </r>
  </si>
  <si>
    <t xml:space="preserve">A</t>
  </si>
  <si>
    <t xml:space="preserve">C122–A001</t>
  </si>
  <si>
    <t xml:space="preserve">C003–A001</t>
  </si>
  <si>
    <t xml:space="preserve">C067–A001</t>
  </si>
  <si>
    <t xml:space="preserve">C042–A001</t>
  </si>
  <si>
    <r>
      <rPr>
        <b val="true"/>
        <i val="true"/>
        <sz val="11"/>
        <color rgb="FF000000"/>
        <rFont val="Calibri"/>
        <family val="2"/>
        <charset val="1"/>
      </rPr>
      <t xml:space="preserve">c</t>
    </r>
    <r>
      <rPr>
        <b val="true"/>
        <sz val="11"/>
        <color rgb="FF000000"/>
        <rFont val="Calibri"/>
        <family val="2"/>
        <charset val="1"/>
      </rPr>
      <t xml:space="preserve">(lysate) [mg mL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]:</t>
    </r>
  </si>
  <si>
    <t xml:space="preserve">B</t>
  </si>
  <si>
    <t xml:space="preserve">C122–A002</t>
  </si>
  <si>
    <t xml:space="preserve">C003–A002</t>
  </si>
  <si>
    <t xml:space="preserve">C067–A002</t>
  </si>
  <si>
    <t xml:space="preserve">C042–A002</t>
  </si>
  <si>
    <t xml:space="preserve">C</t>
  </si>
  <si>
    <t xml:space="preserve">C122–A006</t>
  </si>
  <si>
    <t xml:space="preserve">C003–A006</t>
  </si>
  <si>
    <t xml:space="preserve">C067–A006</t>
  </si>
  <si>
    <t xml:space="preserve">C042–A006</t>
  </si>
  <si>
    <t xml:space="preserve">substrate combination</t>
  </si>
  <si>
    <r>
      <rPr>
        <b val="true"/>
        <sz val="11"/>
        <color rgb="FFFFFFFF"/>
        <rFont val="Calibri"/>
        <family val="2"/>
        <charset val="1"/>
      </rPr>
      <t xml:space="preserve">slope [mAU min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</si>
  <si>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r>
      <rPr>
        <b val="true"/>
        <sz val="11"/>
        <color rgb="FFFFFFFF"/>
        <rFont val="Calibri"/>
        <family val="2"/>
        <charset val="1"/>
      </rPr>
      <t xml:space="preserve">norm. slope [mAU min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 cm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</si>
  <si>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r>
      <rPr>
        <b val="true"/>
        <sz val="11"/>
        <color rgb="FFFFFFFF"/>
        <rFont val="Calibri"/>
        <family val="2"/>
        <charset val="1"/>
      </rPr>
      <t xml:space="preserve">activity [mU mg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</si>
  <si>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t xml:space="preserve">Hit Finder</t>
  </si>
  <si>
    <t xml:space="preserve">D</t>
  </si>
  <si>
    <t xml:space="preserve">C122–A011</t>
  </si>
  <si>
    <t xml:space="preserve">C003–A011</t>
  </si>
  <si>
    <t xml:space="preserve">C067–A011</t>
  </si>
  <si>
    <t xml:space="preserve">C042–A011</t>
  </si>
  <si>
    <t xml:space="preserve">mean</t>
  </si>
  <si>
    <r>
      <rPr>
        <i val="true"/>
        <sz val="11"/>
        <color rgb="FFFFFFFF"/>
        <rFont val="Calibri"/>
        <family val="2"/>
        <charset val="1"/>
      </rPr>
      <t xml:space="preserve">mean</t>
    </r>
    <r>
      <rPr>
        <i val="true"/>
        <vertAlign val="subscript"/>
        <sz val="11"/>
        <color rgb="FFFFFFFF"/>
        <rFont val="Calibri"/>
        <family val="2"/>
        <charset val="1"/>
      </rPr>
      <t xml:space="preserve">corr</t>
    </r>
  </si>
  <si>
    <t xml:space="preserve">SD</t>
  </si>
  <si>
    <t xml:space="preserve">5 SD</t>
  </si>
  <si>
    <t xml:space="preserve">3 SD</t>
  </si>
  <si>
    <t xml:space="preserve">E</t>
  </si>
  <si>
    <t xml:space="preserve">C122–A025</t>
  </si>
  <si>
    <t xml:space="preserve">C003–A025</t>
  </si>
  <si>
    <t xml:space="preserve">C067–A025</t>
  </si>
  <si>
    <t xml:space="preserve">C042–A025</t>
  </si>
  <si>
    <t xml:space="preserve">F</t>
  </si>
  <si>
    <t xml:space="preserve">C122–A030</t>
  </si>
  <si>
    <t xml:space="preserve">C003–A030</t>
  </si>
  <si>
    <t xml:space="preserve">C067–A030</t>
  </si>
  <si>
    <t xml:space="preserve">C042–A030</t>
  </si>
  <si>
    <t xml:space="preserve">G</t>
  </si>
  <si>
    <t xml:space="preserve">C122–A036</t>
  </si>
  <si>
    <t xml:space="preserve">C003–A036</t>
  </si>
  <si>
    <t xml:space="preserve">C067–A036</t>
  </si>
  <si>
    <t xml:space="preserve">C042–A036</t>
  </si>
  <si>
    <t xml:space="preserve">H</t>
  </si>
  <si>
    <t xml:space="preserve">C122 w/o amine</t>
  </si>
  <si>
    <t xml:space="preserve">C003 w/o amine</t>
  </si>
  <si>
    <t xml:space="preserve">C067 w/o amine</t>
  </si>
  <si>
    <t xml:space="preserve">C042 w/o amine</t>
  </si>
  <si>
    <t xml:space="preserve">PathCheck Data:</t>
  </si>
  <si>
    <t xml:space="preserve">pathlength [cm]</t>
  </si>
  <si>
    <t xml:space="preserve">erroneous PathCheck reading due to precipitation –&gt; standard value (0.24) used</t>
  </si>
  <si>
    <t xml:space="preserve">Kinetic Data:</t>
  </si>
  <si>
    <t xml:space="preserve">max. absorbance change [mAU/min]</t>
  </si>
  <si>
    <t xml:space="preserve">nohit gcms</t>
  </si>
  <si>
    <t xml:space="preserve">artifact method</t>
  </si>
  <si>
    <t xml:space="preserve">(rest)</t>
  </si>
  <si>
    <t xml:space="preserve">slower reactions: Vmax over 30 data points, initial 600 sec discarded</t>
  </si>
  <si>
    <t xml:space="preserve">INSERT IMAGE OF KINETIC CURVES HERE</t>
  </si>
  <si>
    <t xml:space="preserve">GRC-GD-123</t>
  </si>
  <si>
    <t xml:space="preserve">C093–A001</t>
  </si>
  <si>
    <t xml:space="preserve">C028–A001</t>
  </si>
  <si>
    <t xml:space="preserve">C037–A001</t>
  </si>
  <si>
    <t xml:space="preserve">C054–A001</t>
  </si>
  <si>
    <t xml:space="preserve">C093–A002</t>
  </si>
  <si>
    <t xml:space="preserve">C028–A002</t>
  </si>
  <si>
    <t xml:space="preserve">C037–A002</t>
  </si>
  <si>
    <t xml:space="preserve">C054–A002</t>
  </si>
  <si>
    <t xml:space="preserve">C093–A006</t>
  </si>
  <si>
    <t xml:space="preserve">C028–A006</t>
  </si>
  <si>
    <t xml:space="preserve">C037–A006</t>
  </si>
  <si>
    <t xml:space="preserve">C054–A006</t>
  </si>
  <si>
    <t xml:space="preserve">C093–A011</t>
  </si>
  <si>
    <t xml:space="preserve">C028–A011</t>
  </si>
  <si>
    <t xml:space="preserve">C037–A011</t>
  </si>
  <si>
    <t xml:space="preserve">C054–A011</t>
  </si>
  <si>
    <t xml:space="preserve">C093–A025</t>
  </si>
  <si>
    <t xml:space="preserve">C028–A025</t>
  </si>
  <si>
    <t xml:space="preserve">C037–A025</t>
  </si>
  <si>
    <t xml:space="preserve">C054–A025</t>
  </si>
  <si>
    <t xml:space="preserve">C093–A030</t>
  </si>
  <si>
    <t xml:space="preserve">C028–A030</t>
  </si>
  <si>
    <t xml:space="preserve">C037–A030</t>
  </si>
  <si>
    <t xml:space="preserve">C054–A030</t>
  </si>
  <si>
    <t xml:space="preserve">C093–A036</t>
  </si>
  <si>
    <t xml:space="preserve">C028–A036</t>
  </si>
  <si>
    <t xml:space="preserve">C037–A036</t>
  </si>
  <si>
    <t xml:space="preserve">C054–A036</t>
  </si>
  <si>
    <t xml:space="preserve">C093 w/o amine</t>
  </si>
  <si>
    <t xml:space="preserve">C028 w/o amine</t>
  </si>
  <si>
    <t xml:space="preserve">C037 w/o amine</t>
  </si>
  <si>
    <t xml:space="preserve">C054 w/o amine</t>
  </si>
  <si>
    <t xml:space="preserve">x</t>
  </si>
  <si>
    <t xml:space="preserve">outlier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</si>
</sst>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"/>
    <numFmt numFmtId="167" formatCode="0.000"/>
    <numFmt numFmtId="168" formatCode="General"/>
    <numFmt numFmtId="169" formatCode="0.00"/>
    <numFmt numFmtId="170" formatCode="0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i val="true"/>
      <vertAlign val="subscript"/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D27A7"/>
      <name val="Calibri"/>
      <family val="2"/>
      <charset val="1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25596"/>
        <bgColor rgb="FF595959"/>
      </patternFill>
    </fill>
    <fill>
      <patternFill patternType="solid">
        <fgColor rgb="FFD9D9D9"/>
        <bgColor rgb="FFD0CECE"/>
      </patternFill>
    </fill>
    <fill>
      <patternFill patternType="solid">
        <fgColor rgb="FF6F91CF"/>
        <bgColor rgb="FF969696"/>
      </patternFill>
    </fill>
    <fill>
      <patternFill patternType="solid">
        <fgColor rgb="FFF2F2F2"/>
        <bgColor rgb="FFE2F0D9"/>
      </patternFill>
    </fill>
    <fill>
      <patternFill patternType="solid">
        <fgColor rgb="FFFDBCBC"/>
        <bgColor rgb="FFFF99CC"/>
      </patternFill>
    </fill>
    <fill>
      <patternFill patternType="solid">
        <fgColor rgb="FFE2F0D9"/>
        <bgColor rgb="FFF2F2F2"/>
      </patternFill>
    </fill>
    <fill>
      <patternFill patternType="solid">
        <fgColor rgb="FFD0CECE"/>
        <bgColor rgb="FFD9D9D9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>
        <color rgb="FF7F7F7F"/>
      </bottom>
      <diagonal/>
    </border>
    <border diagonalUp="false" diagonalDown="false">
      <left style="thin"/>
      <right style="thin"/>
      <top style="medium"/>
      <bottom style="thin">
        <color rgb="FF7F7F7F"/>
      </bottom>
      <diagonal/>
    </border>
    <border diagonalUp="false" diagonalDown="false">
      <left style="thin"/>
      <right style="medium"/>
      <top style="medium"/>
      <bottom style="thin">
        <color rgb="FF7F7F7F"/>
      </bottom>
      <diagonal/>
    </border>
    <border diagonalUp="false" diagonalDown="false">
      <left style="medium"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>
        <color rgb="FF7F7F7F"/>
      </top>
      <bottom style="medium"/>
      <diagonal/>
    </border>
    <border diagonalUp="false" diagonalDown="false">
      <left style="thin"/>
      <right style="thin"/>
      <top style="thin">
        <color rgb="FF7F7F7F"/>
      </top>
      <bottom style="medium"/>
      <diagonal/>
    </border>
    <border diagonalUp="false" diagonalDown="false">
      <left style="thin"/>
      <right style="medium"/>
      <top style="thin">
        <color rgb="FF7F7F7F"/>
      </top>
      <bottom style="medium"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medium"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7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7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5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27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5" fillId="5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5" fillId="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5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4" fillId="5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5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5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8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D0CECE"/>
      <rgbColor rgb="FF7F7F7F"/>
      <rgbColor rgb="FF6F91CF"/>
      <rgbColor rgb="FF993366"/>
      <rgbColor rgb="FFF2F2F2"/>
      <rgbColor rgb="FFD9D9D9"/>
      <rgbColor rgb="FF660066"/>
      <rgbColor rgb="FFFF8080"/>
      <rgbColor rgb="FF325596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'Plate 1'!$Z$16:$Z$22,'Plate 1'!$Z$24:$Z$30,'Plate 1'!$Z$32:$Z$38,'Plate 1'!$Z$40:$Z$46</c:f>
                <c:numCache>
                  <c:formatCode>General</c:formatCode>
                  <c:ptCount val="28"/>
                  <c:pt idx="0">
                    <c:v>0.0310226796026886</c:v>
                  </c:pt>
                  <c:pt idx="1">
                    <c:v>0.0268659808312491</c:v>
                  </c:pt>
                  <c:pt idx="2">
                    <c:v>0.056697453700344</c:v>
                  </c:pt>
                  <c:pt idx="3">
                    <c:v>0.0717812166779272</c:v>
                  </c:pt>
                  <c:pt idx="4">
                    <c:v>0.131888452293498</c:v>
                  </c:pt>
                  <c:pt idx="5">
                    <c:v>123.623175694992</c:v>
                  </c:pt>
                  <c:pt idx="6">
                    <c:v>69.6074023752139</c:v>
                  </c:pt>
                  <c:pt idx="7">
                    <c:v>0.31103650598578</c:v>
                  </c:pt>
                  <c:pt idx="8">
                    <c:v>0.117120877142702</c:v>
                  </c:pt>
                  <c:pt idx="9">
                    <c:v>0.165306969148811</c:v>
                  </c:pt>
                  <c:pt idx="10">
                    <c:v>0.411701924250935</c:v>
                  </c:pt>
                  <c:pt idx="11">
                    <c:v>0.205518718630513</c:v>
                  </c:pt>
                  <c:pt idx="12">
                    <c:v>0.0581327783168582</c:v>
                  </c:pt>
                  <c:pt idx="13">
                    <c:v>0.161657289462128</c:v>
                  </c:pt>
                  <c:pt idx="14">
                    <c:v>0.145366177683264</c:v>
                  </c:pt>
                  <c:pt idx="15">
                    <c:v>0.0738292811153318</c:v>
                  </c:pt>
                  <c:pt idx="16">
                    <c:v>0.0761008797662947</c:v>
                  </c:pt>
                  <c:pt idx="17">
                    <c:v>0.0552942867176509</c:v>
                  </c:pt>
                  <c:pt idx="18">
                    <c:v>0.126497381488251</c:v>
                  </c:pt>
                  <c:pt idx="19">
                    <c:v>0.129746670507831</c:v>
                  </c:pt>
                  <c:pt idx="20">
                    <c:v>0.0883083662255894</c:v>
                  </c:pt>
                  <c:pt idx="21">
                    <c:v>0.227871075498314</c:v>
                  </c:pt>
                  <c:pt idx="22">
                    <c:v>0.872542515077574</c:v>
                  </c:pt>
                  <c:pt idx="23">
                    <c:v>0.283705313036075</c:v>
                  </c:pt>
                  <c:pt idx="24">
                    <c:v>0.756361011385922</c:v>
                  </c:pt>
                  <c:pt idx="25">
                    <c:v>0.107947148487352</c:v>
                  </c:pt>
                  <c:pt idx="26">
                    <c:v>0.527579784753744</c:v>
                  </c:pt>
                  <c:pt idx="27">
                    <c:v>0.381721525663103</c:v>
                  </c:pt>
                </c:numCache>
              </c:numRef>
            </c:plus>
            <c:minus>
              <c:numRef>
                <c:f>'Plate 1'!$Z$16:$Z$22,'Plate 1'!$Z$24:$Z$30,'Plate 1'!$Z$32:$Z$38,'Plate 1'!$Z$40:$Z$46</c:f>
                <c:numCache>
                  <c:formatCode>General</c:formatCode>
                  <c:ptCount val="28"/>
                  <c:pt idx="0">
                    <c:v>0.0310226796026886</c:v>
                  </c:pt>
                  <c:pt idx="1">
                    <c:v>0.0268659808312491</c:v>
                  </c:pt>
                  <c:pt idx="2">
                    <c:v>0.056697453700344</c:v>
                  </c:pt>
                  <c:pt idx="3">
                    <c:v>0.0717812166779272</c:v>
                  </c:pt>
                  <c:pt idx="4">
                    <c:v>0.131888452293498</c:v>
                  </c:pt>
                  <c:pt idx="5">
                    <c:v>123.623175694992</c:v>
                  </c:pt>
                  <c:pt idx="6">
                    <c:v>69.6074023752139</c:v>
                  </c:pt>
                  <c:pt idx="7">
                    <c:v>0.31103650598578</c:v>
                  </c:pt>
                  <c:pt idx="8">
                    <c:v>0.117120877142702</c:v>
                  </c:pt>
                  <c:pt idx="9">
                    <c:v>0.165306969148811</c:v>
                  </c:pt>
                  <c:pt idx="10">
                    <c:v>0.411701924250935</c:v>
                  </c:pt>
                  <c:pt idx="11">
                    <c:v>0.205518718630513</c:v>
                  </c:pt>
                  <c:pt idx="12">
                    <c:v>0.0581327783168582</c:v>
                  </c:pt>
                  <c:pt idx="13">
                    <c:v>0.161657289462128</c:v>
                  </c:pt>
                  <c:pt idx="14">
                    <c:v>0.145366177683264</c:v>
                  </c:pt>
                  <c:pt idx="15">
                    <c:v>0.0738292811153318</c:v>
                  </c:pt>
                  <c:pt idx="16">
                    <c:v>0.0761008797662947</c:v>
                  </c:pt>
                  <c:pt idx="17">
                    <c:v>0.0552942867176509</c:v>
                  </c:pt>
                  <c:pt idx="18">
                    <c:v>0.126497381488251</c:v>
                  </c:pt>
                  <c:pt idx="19">
                    <c:v>0.129746670507831</c:v>
                  </c:pt>
                  <c:pt idx="20">
                    <c:v>0.0883083662255894</c:v>
                  </c:pt>
                  <c:pt idx="21">
                    <c:v>0.227871075498314</c:v>
                  </c:pt>
                  <c:pt idx="22">
                    <c:v>0.872542515077574</c:v>
                  </c:pt>
                  <c:pt idx="23">
                    <c:v>0.283705313036075</c:v>
                  </c:pt>
                  <c:pt idx="24">
                    <c:v>0.756361011385922</c:v>
                  </c:pt>
                  <c:pt idx="25">
                    <c:v>0.107947148487352</c:v>
                  </c:pt>
                  <c:pt idx="26">
                    <c:v>0.527579784753744</c:v>
                  </c:pt>
                  <c:pt idx="27">
                    <c:v>0.381721525663103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'Plate 1'!$O$16:$O$22,'Plate 1'!$O$24:$O$30,'Plate 1'!$O$32:$O$38,'Plate 1'!$O$40:$O$46</c:f>
              <c:strCache>
                <c:ptCount val="28"/>
                <c:pt idx="0">
                  <c:v>C122–A001</c:v>
                </c:pt>
                <c:pt idx="1">
                  <c:v>C122–A002</c:v>
                </c:pt>
                <c:pt idx="2">
                  <c:v>C122–A006</c:v>
                </c:pt>
                <c:pt idx="3">
                  <c:v>C122–A011</c:v>
                </c:pt>
                <c:pt idx="4">
                  <c:v>C122–A025</c:v>
                </c:pt>
                <c:pt idx="5">
                  <c:v>C122–A030</c:v>
                </c:pt>
                <c:pt idx="6">
                  <c:v>C122–A036</c:v>
                </c:pt>
                <c:pt idx="7">
                  <c:v>C003–A001</c:v>
                </c:pt>
                <c:pt idx="8">
                  <c:v>C003–A002</c:v>
                </c:pt>
                <c:pt idx="9">
                  <c:v>C003–A006</c:v>
                </c:pt>
                <c:pt idx="10">
                  <c:v>C003–A011</c:v>
                </c:pt>
                <c:pt idx="11">
                  <c:v>C003–A025</c:v>
                </c:pt>
                <c:pt idx="12">
                  <c:v>C003–A030</c:v>
                </c:pt>
                <c:pt idx="13">
                  <c:v>C003–A036</c:v>
                </c:pt>
                <c:pt idx="14">
                  <c:v>C067–A001</c:v>
                </c:pt>
                <c:pt idx="15">
                  <c:v>C067–A002</c:v>
                </c:pt>
                <c:pt idx="16">
                  <c:v>C067–A006</c:v>
                </c:pt>
                <c:pt idx="17">
                  <c:v>C067–A011</c:v>
                </c:pt>
                <c:pt idx="18">
                  <c:v>C067–A025</c:v>
                </c:pt>
                <c:pt idx="19">
                  <c:v>C067–A030</c:v>
                </c:pt>
                <c:pt idx="20">
                  <c:v>C067–A036</c:v>
                </c:pt>
                <c:pt idx="21">
                  <c:v>C042–A001</c:v>
                </c:pt>
                <c:pt idx="22">
                  <c:v>C042–A002</c:v>
                </c:pt>
                <c:pt idx="23">
                  <c:v>C042–A006</c:v>
                </c:pt>
                <c:pt idx="24">
                  <c:v>C042–A011</c:v>
                </c:pt>
                <c:pt idx="25">
                  <c:v>C042–A025</c:v>
                </c:pt>
                <c:pt idx="26">
                  <c:v>C042–A030</c:v>
                </c:pt>
                <c:pt idx="27">
                  <c:v>C042–A036</c:v>
                </c:pt>
              </c:strCache>
            </c:strRef>
          </c:cat>
          <c:val>
            <c:numRef>
              <c:f>'Plate 1'!$Y$16:$Y$22,'Plate 1'!$Y$24:$Y$30,'Plate 1'!$Y$32:$Y$38,'Plate 1'!$Y$40:$Y$46</c:f>
              <c:numCache>
                <c:formatCode>General</c:formatCode>
                <c:ptCount val="28"/>
                <c:pt idx="0">
                  <c:v>-0.516633634306954</c:v>
                </c:pt>
                <c:pt idx="1">
                  <c:v>-0.696862108252207</c:v>
                </c:pt>
                <c:pt idx="2">
                  <c:v>-1.07601568377134</c:v>
                </c:pt>
                <c:pt idx="3">
                  <c:v>-0.319844405756876</c:v>
                </c:pt>
                <c:pt idx="4">
                  <c:v>-1.2729080945931</c:v>
                </c:pt>
                <c:pt idx="5">
                  <c:v>-42.7119127433073</c:v>
                </c:pt>
                <c:pt idx="6">
                  <c:v>-127.15429782356</c:v>
                </c:pt>
                <c:pt idx="7">
                  <c:v>-0.196634455142531</c:v>
                </c:pt>
                <c:pt idx="8">
                  <c:v>-0.265498303262435</c:v>
                </c:pt>
                <c:pt idx="9">
                  <c:v>-0.606587938758455</c:v>
                </c:pt>
                <c:pt idx="10">
                  <c:v>-0.0428515974291082</c:v>
                </c:pt>
                <c:pt idx="11">
                  <c:v>-0.916310163663423</c:v>
                </c:pt>
                <c:pt idx="12">
                  <c:v>-1.77168087767201</c:v>
                </c:pt>
                <c:pt idx="13">
                  <c:v>-0.937235528360318</c:v>
                </c:pt>
                <c:pt idx="14">
                  <c:v>-0.831133198390731</c:v>
                </c:pt>
                <c:pt idx="15">
                  <c:v>-0.973493778629046</c:v>
                </c:pt>
                <c:pt idx="16">
                  <c:v>-1.02911934129229</c:v>
                </c:pt>
                <c:pt idx="17">
                  <c:v>-1.06223053227473</c:v>
                </c:pt>
                <c:pt idx="18">
                  <c:v>-1.43831959432494</c:v>
                </c:pt>
                <c:pt idx="19">
                  <c:v>-1.51713021343492</c:v>
                </c:pt>
                <c:pt idx="20">
                  <c:v>-1.67720718972086</c:v>
                </c:pt>
                <c:pt idx="21">
                  <c:v>1.15610576305014</c:v>
                </c:pt>
                <c:pt idx="22">
                  <c:v>0.67028235506715</c:v>
                </c:pt>
                <c:pt idx="23">
                  <c:v>0.491054749157202</c:v>
                </c:pt>
                <c:pt idx="24">
                  <c:v>0.827604364699244</c:v>
                </c:pt>
                <c:pt idx="25">
                  <c:v>0.778138783655354</c:v>
                </c:pt>
                <c:pt idx="26">
                  <c:v>0.421705944360398</c:v>
                </c:pt>
                <c:pt idx="27">
                  <c:v>-0.353636599732386</c:v>
                </c:pt>
              </c:numCache>
            </c:numRef>
          </c:val>
        </c:ser>
        <c:gapWidth val="182"/>
        <c:overlap val="0"/>
        <c:axId val="32125442"/>
        <c:axId val="60612807"/>
      </c:barChart>
      <c:catAx>
        <c:axId val="3212544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12807"/>
        <c:crosses val="autoZero"/>
        <c:auto val="1"/>
        <c:lblAlgn val="ctr"/>
        <c:lblOffset val="100"/>
        <c:noMultiLvlLbl val="0"/>
      </c:catAx>
      <c:valAx>
        <c:axId val="60612807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205791743685"/>
              <c:y val="0.96165569373323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25442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'Plate 2'!$Z$16:$Z$22,'Plate 2'!$Z$24:$Z$30,'Plate 2'!$Z$32:$Z$38,'Plate 2'!$Z$40:$Z$46</c:f>
                <c:numCache>
                  <c:formatCode>General</c:formatCode>
                  <c:ptCount val="28"/>
                  <c:pt idx="0">
                    <c:v>0.186874442010415</c:v>
                  </c:pt>
                  <c:pt idx="1">
                    <c:v>0.743929122356608</c:v>
                  </c:pt>
                  <c:pt idx="2">
                    <c:v>0</c:v>
                  </c:pt>
                  <c:pt idx="3">
                    <c:v>2.16789861370984</c:v>
                  </c:pt>
                  <c:pt idx="4">
                    <c:v>2.20581512665641</c:v>
                  </c:pt>
                  <c:pt idx="5">
                    <c:v>6.24936623978009</c:v>
                  </c:pt>
                  <c:pt idx="6">
                    <c:v>5.70598149856069</c:v>
                  </c:pt>
                  <c:pt idx="7">
                    <c:v>0.495352290772741</c:v>
                  </c:pt>
                  <c:pt idx="8">
                    <c:v>0.282531222448844</c:v>
                  </c:pt>
                  <c:pt idx="9">
                    <c:v>0.00674169622785184</c:v>
                  </c:pt>
                  <c:pt idx="10">
                    <c:v>0.837029386744449</c:v>
                  </c:pt>
                  <c:pt idx="11">
                    <c:v>0.0870028864362554</c:v>
                  </c:pt>
                  <c:pt idx="12">
                    <c:v>0.20309622483901</c:v>
                  </c:pt>
                  <c:pt idx="13">
                    <c:v>0.523630420936123</c:v>
                  </c:pt>
                  <c:pt idx="14">
                    <c:v>1.21200936870028</c:v>
                  </c:pt>
                  <c:pt idx="15">
                    <c:v>0.0643570848446118</c:v>
                  </c:pt>
                  <c:pt idx="16">
                    <c:v>0.621925378446345</c:v>
                  </c:pt>
                  <c:pt idx="17">
                    <c:v>0.458054258474899</c:v>
                  </c:pt>
                  <c:pt idx="18">
                    <c:v>0.324605938913353</c:v>
                  </c:pt>
                  <c:pt idx="19">
                    <c:v>1.79040679179295</c:v>
                  </c:pt>
                  <c:pt idx="20">
                    <c:v>0.398684371018982</c:v>
                  </c:pt>
                  <c:pt idx="21">
                    <c:v>0.38553407871005</c:v>
                  </c:pt>
                  <c:pt idx="22">
                    <c:v>0.14685704983248</c:v>
                  </c:pt>
                  <c:pt idx="23">
                    <c:v>0.215734995858281</c:v>
                  </c:pt>
                  <c:pt idx="24">
                    <c:v>0.0236287357091836</c:v>
                  </c:pt>
                  <c:pt idx="25">
                    <c:v>0.168367751411456</c:v>
                  </c:pt>
                  <c:pt idx="26">
                    <c:v>0.156098151751531</c:v>
                  </c:pt>
                  <c:pt idx="27">
                    <c:v>0.848867703475774</c:v>
                  </c:pt>
                </c:numCache>
              </c:numRef>
            </c:plus>
            <c:minus>
              <c:numRef>
                <c:f>'Plate 2'!$Z$16:$Z$22,'Plate 2'!$Z$24:$Z$30,'Plate 2'!$Z$32:$Z$38,'Plate 2'!$Z$40:$Z$46</c:f>
                <c:numCache>
                  <c:formatCode>General</c:formatCode>
                  <c:ptCount val="28"/>
                  <c:pt idx="0">
                    <c:v>0.186874442010415</c:v>
                  </c:pt>
                  <c:pt idx="1">
                    <c:v>0.743929122356608</c:v>
                  </c:pt>
                  <c:pt idx="2">
                    <c:v>0</c:v>
                  </c:pt>
                  <c:pt idx="3">
                    <c:v>2.16789861370984</c:v>
                  </c:pt>
                  <c:pt idx="4">
                    <c:v>2.20581512665641</c:v>
                  </c:pt>
                  <c:pt idx="5">
                    <c:v>6.24936623978009</c:v>
                  </c:pt>
                  <c:pt idx="6">
                    <c:v>5.70598149856069</c:v>
                  </c:pt>
                  <c:pt idx="7">
                    <c:v>0.495352290772741</c:v>
                  </c:pt>
                  <c:pt idx="8">
                    <c:v>0.282531222448844</c:v>
                  </c:pt>
                  <c:pt idx="9">
                    <c:v>0.00674169622785184</c:v>
                  </c:pt>
                  <c:pt idx="10">
                    <c:v>0.837029386744449</c:v>
                  </c:pt>
                  <c:pt idx="11">
                    <c:v>0.0870028864362554</c:v>
                  </c:pt>
                  <c:pt idx="12">
                    <c:v>0.20309622483901</c:v>
                  </c:pt>
                  <c:pt idx="13">
                    <c:v>0.523630420936123</c:v>
                  </c:pt>
                  <c:pt idx="14">
                    <c:v>1.21200936870028</c:v>
                  </c:pt>
                  <c:pt idx="15">
                    <c:v>0.0643570848446118</c:v>
                  </c:pt>
                  <c:pt idx="16">
                    <c:v>0.621925378446345</c:v>
                  </c:pt>
                  <c:pt idx="17">
                    <c:v>0.458054258474899</c:v>
                  </c:pt>
                  <c:pt idx="18">
                    <c:v>0.324605938913353</c:v>
                  </c:pt>
                  <c:pt idx="19">
                    <c:v>1.79040679179295</c:v>
                  </c:pt>
                  <c:pt idx="20">
                    <c:v>0.398684371018982</c:v>
                  </c:pt>
                  <c:pt idx="21">
                    <c:v>0.38553407871005</c:v>
                  </c:pt>
                  <c:pt idx="22">
                    <c:v>0.14685704983248</c:v>
                  </c:pt>
                  <c:pt idx="23">
                    <c:v>0.215734995858281</c:v>
                  </c:pt>
                  <c:pt idx="24">
                    <c:v>0.0236287357091836</c:v>
                  </c:pt>
                  <c:pt idx="25">
                    <c:v>0.168367751411456</c:v>
                  </c:pt>
                  <c:pt idx="26">
                    <c:v>0.156098151751531</c:v>
                  </c:pt>
                  <c:pt idx="27">
                    <c:v>0.848867703475774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'Plate 2'!$O$16:$O$22,'Plate 2'!$O$24:$O$30,'Plate 2'!$O$32:$O$38,'Plate 2'!$O$40:$O$46</c:f>
              <c:strCache>
                <c:ptCount val="28"/>
                <c:pt idx="0">
                  <c:v>C093–A001</c:v>
                </c:pt>
                <c:pt idx="1">
                  <c:v>C093–A002</c:v>
                </c:pt>
                <c:pt idx="2">
                  <c:v>C093–A006</c:v>
                </c:pt>
                <c:pt idx="3">
                  <c:v>C093–A011</c:v>
                </c:pt>
                <c:pt idx="4">
                  <c:v>C093–A025</c:v>
                </c:pt>
                <c:pt idx="5">
                  <c:v>C093–A030</c:v>
                </c:pt>
                <c:pt idx="6">
                  <c:v>C093–A036</c:v>
                </c:pt>
                <c:pt idx="7">
                  <c:v>C028–A001</c:v>
                </c:pt>
                <c:pt idx="8">
                  <c:v>C028–A002</c:v>
                </c:pt>
                <c:pt idx="9">
                  <c:v>C028–A006</c:v>
                </c:pt>
                <c:pt idx="10">
                  <c:v>C028–A011</c:v>
                </c:pt>
                <c:pt idx="11">
                  <c:v>C028–A025</c:v>
                </c:pt>
                <c:pt idx="12">
                  <c:v>C028–A030</c:v>
                </c:pt>
                <c:pt idx="13">
                  <c:v>C028–A036</c:v>
                </c:pt>
                <c:pt idx="14">
                  <c:v>C037–A001</c:v>
                </c:pt>
                <c:pt idx="15">
                  <c:v>C037–A002</c:v>
                </c:pt>
                <c:pt idx="16">
                  <c:v>C037–A006</c:v>
                </c:pt>
                <c:pt idx="17">
                  <c:v>C037–A011</c:v>
                </c:pt>
                <c:pt idx="18">
                  <c:v>C037–A025</c:v>
                </c:pt>
                <c:pt idx="19">
                  <c:v>C037–A030</c:v>
                </c:pt>
                <c:pt idx="20">
                  <c:v>C037–A036</c:v>
                </c:pt>
                <c:pt idx="21">
                  <c:v>C054–A001</c:v>
                </c:pt>
                <c:pt idx="22">
                  <c:v>C054–A002</c:v>
                </c:pt>
                <c:pt idx="23">
                  <c:v>C054–A006</c:v>
                </c:pt>
                <c:pt idx="24">
                  <c:v>C054–A011</c:v>
                </c:pt>
                <c:pt idx="25">
                  <c:v>C054–A025</c:v>
                </c:pt>
                <c:pt idx="26">
                  <c:v>C054–A030</c:v>
                </c:pt>
                <c:pt idx="27">
                  <c:v>C054–A036</c:v>
                </c:pt>
              </c:strCache>
            </c:strRef>
          </c:cat>
          <c:val>
            <c:numRef>
              <c:f>'Plate 2'!$Y$16:$Y$22,'Plate 2'!$Y$24:$Y$30,'Plate 2'!$Y$32:$Y$38,'Plate 2'!$Y$40:$Y$46</c:f>
              <c:numCache>
                <c:formatCode>General</c:formatCode>
                <c:ptCount val="28"/>
                <c:pt idx="0">
                  <c:v>-1.2533653723367</c:v>
                </c:pt>
                <c:pt idx="1">
                  <c:v>-2.00826750840949</c:v>
                </c:pt>
                <c:pt idx="2">
                  <c:v>-1.89462255438002</c:v>
                </c:pt>
                <c:pt idx="3">
                  <c:v>-0.0783566171145939</c:v>
                </c:pt>
                <c:pt idx="4">
                  <c:v>-1.97038413736182</c:v>
                </c:pt>
                <c:pt idx="5">
                  <c:v>1.51212587325841</c:v>
                </c:pt>
                <c:pt idx="6">
                  <c:v>3.32341824130156</c:v>
                </c:pt>
                <c:pt idx="7">
                  <c:v>0.462519691923821</c:v>
                </c:pt>
                <c:pt idx="8">
                  <c:v>0.207974186800316</c:v>
                </c:pt>
                <c:pt idx="9">
                  <c:v>-0.435326004222298</c:v>
                </c:pt>
                <c:pt idx="10">
                  <c:v>0.296752213354656</c:v>
                </c:pt>
                <c:pt idx="11">
                  <c:v>-0.640390450961179</c:v>
                </c:pt>
                <c:pt idx="12">
                  <c:v>-1.47371111351154</c:v>
                </c:pt>
                <c:pt idx="13">
                  <c:v>-1.5486420792063</c:v>
                </c:pt>
                <c:pt idx="14">
                  <c:v>1.85669275131001</c:v>
                </c:pt>
                <c:pt idx="15">
                  <c:v>0.361230814928112</c:v>
                </c:pt>
                <c:pt idx="16">
                  <c:v>0.636087750232043</c:v>
                </c:pt>
                <c:pt idx="17">
                  <c:v>0.249154231428181</c:v>
                </c:pt>
                <c:pt idx="18">
                  <c:v>-0.728033472527031</c:v>
                </c:pt>
                <c:pt idx="19">
                  <c:v>0.620218316847525</c:v>
                </c:pt>
                <c:pt idx="20">
                  <c:v>-0.959450671453268</c:v>
                </c:pt>
                <c:pt idx="21">
                  <c:v>0.0943498692251521</c:v>
                </c:pt>
                <c:pt idx="22">
                  <c:v>-0.426359464813185</c:v>
                </c:pt>
                <c:pt idx="23">
                  <c:v>-0.349725991635683</c:v>
                </c:pt>
                <c:pt idx="24">
                  <c:v>-0.226433495203998</c:v>
                </c:pt>
                <c:pt idx="25">
                  <c:v>-0.496564682464952</c:v>
                </c:pt>
                <c:pt idx="26">
                  <c:v>-0.811590476134326</c:v>
                </c:pt>
                <c:pt idx="27">
                  <c:v>-1.14861473012609</c:v>
                </c:pt>
              </c:numCache>
            </c:numRef>
          </c:val>
        </c:ser>
        <c:gapWidth val="182"/>
        <c:overlap val="0"/>
        <c:axId val="41667697"/>
        <c:axId val="25692356"/>
      </c:barChart>
      <c:catAx>
        <c:axId val="4166769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92356"/>
        <c:crosses val="autoZero"/>
        <c:auto val="1"/>
        <c:lblAlgn val="ctr"/>
        <c:lblOffset val="100"/>
        <c:noMultiLvlLbl val="0"/>
      </c:catAx>
      <c:valAx>
        <c:axId val="25692356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205791743685"/>
              <c:y val="0.96165569373323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67697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ti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4.t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13</xdr:row>
      <xdr:rowOff>0</xdr:rowOff>
    </xdr:from>
    <xdr:to>
      <xdr:col>37</xdr:col>
      <xdr:colOff>360</xdr:colOff>
      <xdr:row>43</xdr:row>
      <xdr:rowOff>190080</xdr:rowOff>
    </xdr:to>
    <xdr:graphicFrame>
      <xdr:nvGraphicFramePr>
        <xdr:cNvPr id="0" name="Diagramm 2"/>
        <xdr:cNvGraphicFramePr/>
      </xdr:nvGraphicFramePr>
      <xdr:xfrm>
        <a:off x="15749280" y="2523960"/>
        <a:ext cx="5842440" cy="59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46</xdr:row>
      <xdr:rowOff>81720</xdr:rowOff>
    </xdr:from>
    <xdr:to>
      <xdr:col>13</xdr:col>
      <xdr:colOff>571680</xdr:colOff>
      <xdr:row>64</xdr:row>
      <xdr:rowOff>17280</xdr:rowOff>
    </xdr:to>
    <xdr:pic>
      <xdr:nvPicPr>
        <xdr:cNvPr id="1" name="Grafik 3" descr=""/>
        <xdr:cNvPicPr/>
      </xdr:nvPicPr>
      <xdr:blipFill>
        <a:blip r:embed="rId2"/>
        <a:stretch/>
      </xdr:blipFill>
      <xdr:spPr>
        <a:xfrm>
          <a:off x="0" y="8892360"/>
          <a:ext cx="6507000" cy="3364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13</xdr:row>
      <xdr:rowOff>0</xdr:rowOff>
    </xdr:from>
    <xdr:to>
      <xdr:col>37</xdr:col>
      <xdr:colOff>360</xdr:colOff>
      <xdr:row>43</xdr:row>
      <xdr:rowOff>190080</xdr:rowOff>
    </xdr:to>
    <xdr:graphicFrame>
      <xdr:nvGraphicFramePr>
        <xdr:cNvPr id="2" name="Diagramm 2"/>
        <xdr:cNvGraphicFramePr/>
      </xdr:nvGraphicFramePr>
      <xdr:xfrm>
        <a:off x="15749280" y="2523960"/>
        <a:ext cx="5842440" cy="59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44</xdr:row>
      <xdr:rowOff>185040</xdr:rowOff>
    </xdr:from>
    <xdr:to>
      <xdr:col>14</xdr:col>
      <xdr:colOff>1440</xdr:colOff>
      <xdr:row>62</xdr:row>
      <xdr:rowOff>153360</xdr:rowOff>
    </xdr:to>
    <xdr:pic>
      <xdr:nvPicPr>
        <xdr:cNvPr id="3" name="Grafik 3" descr=""/>
        <xdr:cNvPicPr/>
      </xdr:nvPicPr>
      <xdr:blipFill>
        <a:blip r:embed="rId2"/>
        <a:stretch/>
      </xdr:blipFill>
      <xdr:spPr>
        <a:xfrm>
          <a:off x="0" y="8614800"/>
          <a:ext cx="6667200" cy="3397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2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C41" activeCellId="0" sqref="AC41"/>
    </sheetView>
  </sheetViews>
  <sheetFormatPr defaultColWidth="9.12890625" defaultRowHeight="15" zeroHeight="false" outlineLevelRow="0" outlineLevelCol="0"/>
  <cols>
    <col collapsed="false" customWidth="true" hidden="false" outlineLevel="0" max="13" min="1" style="0" width="5.71"/>
    <col collapsed="false" customWidth="true" hidden="false" outlineLevel="0" max="15" min="15" style="0" width="15.71"/>
    <col collapsed="false" customWidth="true" hidden="false" outlineLevel="0" max="16" min="16" style="0" width="1.43"/>
    <col collapsed="false" customWidth="true" hidden="false" outlineLevel="0" max="20" min="20" style="0" width="1.43"/>
    <col collapsed="false" customWidth="true" hidden="false" outlineLevel="0" max="24" min="24" style="0" width="1.43"/>
    <col collapsed="false" customWidth="true" hidden="false" outlineLevel="0" max="28" min="27" style="0" width="5.71"/>
  </cols>
  <sheetData>
    <row r="1" customFormat="false" ht="18.7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E3" s="3" t="s">
        <v>2</v>
      </c>
      <c r="F3" s="3"/>
    </row>
    <row r="4" customFormat="false" ht="15" hidden="false" customHeight="false" outlineLevel="0" collapsed="false">
      <c r="A4" s="2" t="s">
        <v>3</v>
      </c>
      <c r="E4" s="4" t="s">
        <v>4</v>
      </c>
    </row>
    <row r="5" customFormat="false" ht="15" hidden="false" customHeight="false" outlineLevel="0" collapsed="false">
      <c r="A5" s="2" t="s">
        <v>5</v>
      </c>
      <c r="E5" s="0" t="s">
        <v>6</v>
      </c>
    </row>
    <row r="6" customFormat="false" ht="15" hidden="false" customHeight="false" outlineLevel="0" collapsed="false">
      <c r="A6" s="2" t="s">
        <v>7</v>
      </c>
      <c r="E6" s="5" t="s">
        <v>8</v>
      </c>
    </row>
    <row r="7" customFormat="false" ht="15" hidden="false" customHeight="false" outlineLevel="0" collapsed="false">
      <c r="A7" s="2" t="s">
        <v>9</v>
      </c>
      <c r="E7" s="3" t="s">
        <v>10</v>
      </c>
      <c r="F7" s="3"/>
    </row>
    <row r="8" customFormat="false" ht="15" hidden="false" customHeight="false" outlineLevel="0" collapsed="false">
      <c r="A8" s="2" t="s">
        <v>11</v>
      </c>
      <c r="E8" s="6" t="n">
        <v>44628</v>
      </c>
      <c r="F8" s="6"/>
    </row>
    <row r="10" customFormat="false" ht="15" hidden="false" customHeight="false" outlineLevel="0" collapsed="false">
      <c r="A10" s="2" t="s">
        <v>12</v>
      </c>
      <c r="O10" s="2" t="s">
        <v>13</v>
      </c>
      <c r="P10" s="7"/>
    </row>
    <row r="11" customFormat="false" ht="15" hidden="false" customHeight="true" outlineLevel="0" collapsed="false">
      <c r="B11" s="8" t="n">
        <v>1</v>
      </c>
      <c r="C11" s="8" t="n">
        <v>2</v>
      </c>
      <c r="D11" s="8" t="n">
        <v>3</v>
      </c>
      <c r="E11" s="8" t="n">
        <v>4</v>
      </c>
      <c r="F11" s="8" t="n">
        <v>5</v>
      </c>
      <c r="G11" s="8" t="n">
        <v>6</v>
      </c>
      <c r="H11" s="8" t="n">
        <v>7</v>
      </c>
      <c r="I11" s="8" t="n">
        <v>8</v>
      </c>
      <c r="J11" s="8" t="n">
        <v>9</v>
      </c>
      <c r="K11" s="8" t="n">
        <v>10</v>
      </c>
      <c r="L11" s="8" t="n">
        <v>11</v>
      </c>
      <c r="M11" s="8" t="n">
        <v>12</v>
      </c>
      <c r="O11" s="9" t="s">
        <v>14</v>
      </c>
      <c r="P11" s="9"/>
      <c r="Q11" s="9"/>
      <c r="R11" s="9"/>
      <c r="S11" s="0" t="n">
        <v>2216</v>
      </c>
    </row>
    <row r="12" customFormat="false" ht="15" hidden="false" customHeight="true" outlineLevel="0" collapsed="false">
      <c r="A12" s="8" t="s">
        <v>15</v>
      </c>
      <c r="B12" s="10" t="s">
        <v>16</v>
      </c>
      <c r="C12" s="10"/>
      <c r="D12" s="10"/>
      <c r="E12" s="11" t="s">
        <v>17</v>
      </c>
      <c r="F12" s="11"/>
      <c r="G12" s="11"/>
      <c r="H12" s="11" t="s">
        <v>18</v>
      </c>
      <c r="I12" s="11"/>
      <c r="J12" s="11"/>
      <c r="K12" s="12" t="s">
        <v>19</v>
      </c>
      <c r="L12" s="12"/>
      <c r="M12" s="12"/>
      <c r="O12" s="13" t="s">
        <v>20</v>
      </c>
      <c r="P12" s="13"/>
      <c r="Q12" s="13"/>
      <c r="R12" s="13"/>
      <c r="S12" s="14" t="n">
        <v>1</v>
      </c>
    </row>
    <row r="13" customFormat="false" ht="15" hidden="false" customHeight="true" outlineLevel="0" collapsed="false">
      <c r="A13" s="8" t="s">
        <v>21</v>
      </c>
      <c r="B13" s="15" t="s">
        <v>22</v>
      </c>
      <c r="C13" s="15"/>
      <c r="D13" s="15"/>
      <c r="E13" s="16" t="s">
        <v>23</v>
      </c>
      <c r="F13" s="16"/>
      <c r="G13" s="16"/>
      <c r="H13" s="16" t="s">
        <v>24</v>
      </c>
      <c r="I13" s="16"/>
      <c r="J13" s="16"/>
      <c r="K13" s="17" t="s">
        <v>25</v>
      </c>
      <c r="L13" s="17"/>
      <c r="M13" s="17"/>
      <c r="O13" s="18"/>
      <c r="P13" s="18"/>
      <c r="Q13" s="18"/>
      <c r="R13" s="18"/>
      <c r="S13" s="19"/>
    </row>
    <row r="14" customFormat="false" ht="15" hidden="false" customHeight="true" outlineLevel="0" collapsed="false">
      <c r="A14" s="8" t="s">
        <v>26</v>
      </c>
      <c r="B14" s="15" t="s">
        <v>27</v>
      </c>
      <c r="C14" s="15"/>
      <c r="D14" s="15"/>
      <c r="E14" s="16" t="s">
        <v>28</v>
      </c>
      <c r="F14" s="16"/>
      <c r="G14" s="16"/>
      <c r="H14" s="16" t="s">
        <v>29</v>
      </c>
      <c r="I14" s="16"/>
      <c r="J14" s="16"/>
      <c r="K14" s="17" t="s">
        <v>30</v>
      </c>
      <c r="L14" s="17"/>
      <c r="M14" s="17"/>
      <c r="O14" s="20" t="s">
        <v>31</v>
      </c>
      <c r="P14" s="21"/>
      <c r="Q14" s="22" t="s">
        <v>32</v>
      </c>
      <c r="R14" s="22"/>
      <c r="S14" s="22"/>
      <c r="T14" s="23"/>
      <c r="U14" s="22" t="s">
        <v>33</v>
      </c>
      <c r="V14" s="22"/>
      <c r="W14" s="22"/>
      <c r="X14" s="23"/>
      <c r="Y14" s="24" t="s">
        <v>34</v>
      </c>
      <c r="Z14" s="24"/>
      <c r="AA14" s="25" t="s">
        <v>35</v>
      </c>
      <c r="AB14" s="25"/>
    </row>
    <row r="15" customFormat="false" ht="15" hidden="false" customHeight="true" outlineLevel="0" collapsed="false">
      <c r="A15" s="8" t="s">
        <v>36</v>
      </c>
      <c r="B15" s="15" t="s">
        <v>37</v>
      </c>
      <c r="C15" s="15"/>
      <c r="D15" s="15"/>
      <c r="E15" s="16" t="s">
        <v>38</v>
      </c>
      <c r="F15" s="16"/>
      <c r="G15" s="16"/>
      <c r="H15" s="16" t="s">
        <v>39</v>
      </c>
      <c r="I15" s="16"/>
      <c r="J15" s="16"/>
      <c r="K15" s="17" t="s">
        <v>40</v>
      </c>
      <c r="L15" s="17"/>
      <c r="M15" s="17"/>
      <c r="O15" s="20"/>
      <c r="P15" s="26"/>
      <c r="Q15" s="27" t="s">
        <v>41</v>
      </c>
      <c r="R15" s="28" t="s">
        <v>42</v>
      </c>
      <c r="S15" s="29" t="s">
        <v>43</v>
      </c>
      <c r="T15" s="30"/>
      <c r="U15" s="27" t="s">
        <v>41</v>
      </c>
      <c r="V15" s="28" t="s">
        <v>42</v>
      </c>
      <c r="W15" s="29" t="s">
        <v>43</v>
      </c>
      <c r="X15" s="30"/>
      <c r="Y15" s="27" t="s">
        <v>41</v>
      </c>
      <c r="Z15" s="31" t="s">
        <v>43</v>
      </c>
      <c r="AA15" s="32" t="s">
        <v>44</v>
      </c>
      <c r="AB15" s="32" t="s">
        <v>45</v>
      </c>
    </row>
    <row r="16" customFormat="false" ht="15" hidden="false" customHeight="true" outlineLevel="0" collapsed="false">
      <c r="A16" s="8" t="s">
        <v>46</v>
      </c>
      <c r="B16" s="15" t="s">
        <v>47</v>
      </c>
      <c r="C16" s="15"/>
      <c r="D16" s="15"/>
      <c r="E16" s="16" t="s">
        <v>48</v>
      </c>
      <c r="F16" s="16"/>
      <c r="G16" s="16"/>
      <c r="H16" s="16" t="s">
        <v>49</v>
      </c>
      <c r="I16" s="16"/>
      <c r="J16" s="16"/>
      <c r="K16" s="17" t="s">
        <v>50</v>
      </c>
      <c r="L16" s="17"/>
      <c r="M16" s="17"/>
      <c r="O16" s="33" t="str">
        <f aca="false">B12</f>
        <v>C122–A001</v>
      </c>
      <c r="P16" s="34"/>
      <c r="Q16" s="35" t="n">
        <f aca="false">AVERAGE(B36:D36)</f>
        <v>-1.52643810621339</v>
      </c>
      <c r="R16" s="35" t="n">
        <f aca="false">Q16-$Q$23</f>
        <v>0.27476643206981</v>
      </c>
      <c r="S16" s="35" t="n">
        <f aca="false">_xlfn.STDEV.P(B36:D36)</f>
        <v>0.0164991019198939</v>
      </c>
      <c r="T16" s="35"/>
      <c r="U16" s="35" t="n">
        <f aca="false">AVERAGE((B36/B23),(C36/C23),(D36/D23))</f>
        <v>-6.36015877588911</v>
      </c>
      <c r="V16" s="35" t="n">
        <f aca="false">-(U16-$U$23)</f>
        <v>-1.14486013362421</v>
      </c>
      <c r="W16" s="35" t="n">
        <f aca="false">_xlfn.STDEV.P((B36/B23),(C36/C23),(D36/D23))</f>
        <v>0.0687462579995579</v>
      </c>
      <c r="X16" s="35"/>
      <c r="Y16" s="36" t="n">
        <f aca="false">V16/($S$11*$S$12)*1000</f>
        <v>-0.516633634306954</v>
      </c>
      <c r="Z16" s="37" t="n">
        <f aca="false">W16/($S$11*$S$12)*1000</f>
        <v>0.0310226796026886</v>
      </c>
      <c r="AA16" s="38" t="str">
        <f aca="false">IF(AND(Y16&gt;(Z16*5),Y16&gt;($Y$23/2)),"Hit","")</f>
        <v/>
      </c>
      <c r="AB16" s="39" t="str">
        <f aca="false">IF(AND(Y16&gt;(Z16*3),Y16&gt;($Y$23/2)),"Hit","")</f>
        <v/>
      </c>
    </row>
    <row r="17" customFormat="false" ht="15" hidden="false" customHeight="true" outlineLevel="0" collapsed="false">
      <c r="A17" s="8" t="s">
        <v>51</v>
      </c>
      <c r="B17" s="15" t="s">
        <v>52</v>
      </c>
      <c r="C17" s="15"/>
      <c r="D17" s="15"/>
      <c r="E17" s="16" t="s">
        <v>53</v>
      </c>
      <c r="F17" s="16"/>
      <c r="G17" s="16"/>
      <c r="H17" s="16" t="s">
        <v>54</v>
      </c>
      <c r="I17" s="16"/>
      <c r="J17" s="16"/>
      <c r="K17" s="17" t="s">
        <v>55</v>
      </c>
      <c r="L17" s="17"/>
      <c r="M17" s="17"/>
      <c r="O17" s="33" t="str">
        <f aca="false">B13</f>
        <v>C122–A002</v>
      </c>
      <c r="P17" s="34"/>
      <c r="Q17" s="35" t="n">
        <f aca="false">AVERAGE(B37:D37)</f>
        <v>-1.43058539463034</v>
      </c>
      <c r="R17" s="35" t="n">
        <f aca="false">Q17-$Q$23</f>
        <v>0.370619143652853</v>
      </c>
      <c r="S17" s="35" t="n">
        <f aca="false">_xlfn.STDEV.P(B37:D37)</f>
        <v>0.0142884032452915</v>
      </c>
      <c r="T17" s="35"/>
      <c r="U17" s="35" t="n">
        <f aca="false">AVERAGE((B37/B24),(C37/C24),(D37/D24))</f>
        <v>-5.96077247762643</v>
      </c>
      <c r="V17" s="35" t="n">
        <f aca="false">-(U17-$U$23)</f>
        <v>-1.54424643188689</v>
      </c>
      <c r="W17" s="35" t="n">
        <f aca="false">_xlfn.STDEV.P((B37/B24),(C37/C24),(D37/D24))</f>
        <v>0.059535013522048</v>
      </c>
      <c r="X17" s="35"/>
      <c r="Y17" s="36" t="n">
        <f aca="false">V17/($S$11*$S$12)*1000</f>
        <v>-0.696862108252207</v>
      </c>
      <c r="Z17" s="37" t="n">
        <f aca="false">W17/($S$11*$S$12)*1000</f>
        <v>0.0268659808312491</v>
      </c>
      <c r="AA17" s="38" t="str">
        <f aca="false">IF(AND(Y17&gt;(Z17*5),Y17&gt;($Y$23/2)),"Hit","")</f>
        <v/>
      </c>
      <c r="AB17" s="39" t="str">
        <f aca="false">IF(AND(Y17&gt;(Z17*3),Y17&gt;($Y$23/2)),"Hit","")</f>
        <v/>
      </c>
    </row>
    <row r="18" customFormat="false" ht="15" hidden="false" customHeight="true" outlineLevel="0" collapsed="false">
      <c r="A18" s="8" t="s">
        <v>56</v>
      </c>
      <c r="B18" s="15" t="s">
        <v>57</v>
      </c>
      <c r="C18" s="15"/>
      <c r="D18" s="15"/>
      <c r="E18" s="16" t="s">
        <v>58</v>
      </c>
      <c r="F18" s="16"/>
      <c r="G18" s="16"/>
      <c r="H18" s="16" t="s">
        <v>59</v>
      </c>
      <c r="I18" s="16"/>
      <c r="J18" s="16"/>
      <c r="K18" s="17" t="s">
        <v>60</v>
      </c>
      <c r="L18" s="17"/>
      <c r="M18" s="17"/>
      <c r="O18" s="40" t="str">
        <f aca="false">B14</f>
        <v>C122–A006</v>
      </c>
      <c r="P18" s="41"/>
      <c r="Q18" s="42" t="n">
        <f aca="false">AVERAGE(B38:D38)</f>
        <v>-1.22893635702625</v>
      </c>
      <c r="R18" s="42" t="n">
        <f aca="false">Q18-$Q$23</f>
        <v>0.57226818125695</v>
      </c>
      <c r="S18" s="42" t="n">
        <f aca="false">_xlfn.STDEV.P(B38:D38)</f>
        <v>0.0301539737759909</v>
      </c>
      <c r="T18" s="42"/>
      <c r="U18" s="42" t="n">
        <f aca="false">AVERAGE((B38/B25),(C38/C25),(D38/D25))</f>
        <v>-5.12056815427603</v>
      </c>
      <c r="V18" s="42" t="n">
        <f aca="false">-(U18-$U$23)</f>
        <v>-2.38445075523729</v>
      </c>
      <c r="W18" s="42" t="n">
        <f aca="false">_xlfn.STDEV.P((B38/B25),(C38/C25),(D38/D25))</f>
        <v>0.125641557399962</v>
      </c>
      <c r="X18" s="42"/>
      <c r="Y18" s="43" t="n">
        <f aca="false">V18/($S$11*$S$12)*1000</f>
        <v>-1.07601568377134</v>
      </c>
      <c r="Z18" s="44" t="n">
        <f aca="false">W18/($S$11*$S$12)*1000</f>
        <v>0.056697453700344</v>
      </c>
      <c r="AA18" s="38" t="str">
        <f aca="false">IF(AND(Y18&gt;(Z18*5),Y18&gt;($Y$23/2)),"Hit","")</f>
        <v/>
      </c>
      <c r="AB18" s="39" t="str">
        <f aca="false">IF(AND(Y18&gt;(Z18*3),Y18&gt;($Y$23/2)),"Hit","")</f>
        <v/>
      </c>
    </row>
    <row r="19" customFormat="false" ht="15" hidden="false" customHeight="true" outlineLevel="0" collapsed="false">
      <c r="A19" s="8" t="s">
        <v>61</v>
      </c>
      <c r="B19" s="45" t="s">
        <v>62</v>
      </c>
      <c r="C19" s="45"/>
      <c r="D19" s="45"/>
      <c r="E19" s="46" t="s">
        <v>63</v>
      </c>
      <c r="F19" s="46"/>
      <c r="G19" s="46"/>
      <c r="H19" s="46" t="s">
        <v>64</v>
      </c>
      <c r="I19" s="46"/>
      <c r="J19" s="46"/>
      <c r="K19" s="47" t="s">
        <v>65</v>
      </c>
      <c r="L19" s="47"/>
      <c r="M19" s="47"/>
      <c r="O19" s="40" t="str">
        <f aca="false">B15</f>
        <v>C122–A011</v>
      </c>
      <c r="P19" s="41"/>
      <c r="Q19" s="42" t="n">
        <f aca="false">AVERAGE(B39:D39)</f>
        <v>-1.63109848952546</v>
      </c>
      <c r="R19" s="42" t="n">
        <f aca="false">Q19-$Q$23</f>
        <v>0.170106048757737</v>
      </c>
      <c r="S19" s="42" t="n">
        <f aca="false">_xlfn.STDEV.P(B39:D39)</f>
        <v>0.0381761222779887</v>
      </c>
      <c r="T19" s="42"/>
      <c r="U19" s="42" t="n">
        <f aca="false">AVERAGE((B39/B26),(C39/C26),(D39/D26))</f>
        <v>-6.79624370635608</v>
      </c>
      <c r="V19" s="42" t="n">
        <f aca="false">-(U19-$U$23)</f>
        <v>-0.708775203157237</v>
      </c>
      <c r="W19" s="42" t="n">
        <f aca="false">_xlfn.STDEV.P((B39/B26),(C39/C26),(D39/D26))</f>
        <v>0.159067176158287</v>
      </c>
      <c r="X19" s="42"/>
      <c r="Y19" s="43" t="n">
        <f aca="false">V19/($S$11*$S$12)*1000</f>
        <v>-0.319844405756876</v>
      </c>
      <c r="Z19" s="44" t="n">
        <f aca="false">W19/($S$11*$S$12)*1000</f>
        <v>0.0717812166779272</v>
      </c>
      <c r="AA19" s="38" t="str">
        <f aca="false">IF(AND(Y19&gt;(Z19*5),Y19&gt;($Y$23/2)),"Hit","")</f>
        <v/>
      </c>
      <c r="AB19" s="39" t="str">
        <f aca="false">IF(AND(Y19&gt;(Z19*3),Y19&gt;($Y$23/2)),"Hit","")</f>
        <v/>
      </c>
    </row>
    <row r="20" customFormat="false" ht="15" hidden="false" customHeight="true" outlineLevel="0" collapsed="false">
      <c r="O20" s="40" t="str">
        <f aca="false">B16</f>
        <v>C122–A025</v>
      </c>
      <c r="P20" s="41"/>
      <c r="Q20" s="42" t="n">
        <f aca="false">AVERAGE(B40:D40)</f>
        <v>-1.1242210972548</v>
      </c>
      <c r="R20" s="42" t="n">
        <f aca="false">Q20-$Q$23</f>
        <v>0.676983441028397</v>
      </c>
      <c r="S20" s="42" t="n">
        <f aca="false">_xlfn.STDEV.P(B40:D40)</f>
        <v>0.0701435544677742</v>
      </c>
      <c r="T20" s="42"/>
      <c r="U20" s="42" t="n">
        <f aca="false">AVERAGE((B40/B27),(C40/C27),(D40/D27))</f>
        <v>-4.684254571895</v>
      </c>
      <c r="V20" s="42" t="n">
        <f aca="false">-(U20-$U$23)</f>
        <v>-2.82076433761832</v>
      </c>
      <c r="W20" s="42" t="n">
        <f aca="false">_xlfn.STDEV.P((B40/B27),(C40/C27),(D40/D27))</f>
        <v>0.292264810282392</v>
      </c>
      <c r="X20" s="42"/>
      <c r="Y20" s="43" t="n">
        <f aca="false">V20/($S$11*$S$12)*1000</f>
        <v>-1.2729080945931</v>
      </c>
      <c r="Z20" s="44" t="n">
        <f aca="false">W20/($S$11*$S$12)*1000</f>
        <v>0.131888452293498</v>
      </c>
      <c r="AA20" s="38" t="str">
        <f aca="false">IF(AND(Y20&gt;(Z20*5),Y20&gt;($Y$23/2)),"Hit","")</f>
        <v/>
      </c>
      <c r="AB20" s="39" t="str">
        <f aca="false">IF(AND(Y20&gt;(Z20*3),Y20&gt;($Y$23/2)),"Hit","")</f>
        <v/>
      </c>
    </row>
    <row r="21" customFormat="false" ht="15" hidden="false" customHeight="true" outlineLevel="0" collapsed="false">
      <c r="A21" s="2" t="s">
        <v>66</v>
      </c>
      <c r="E21" s="48" t="s">
        <v>67</v>
      </c>
      <c r="O21" s="40" t="str">
        <f aca="false">B17</f>
        <v>C122–A030</v>
      </c>
      <c r="P21" s="41"/>
      <c r="Q21" s="42" t="n">
        <f aca="false">AVERAGE(B41:D41)</f>
        <v>20.9146991351174</v>
      </c>
      <c r="R21" s="42" t="n">
        <f aca="false">Q21-$Q$23</f>
        <v>22.7159036734006</v>
      </c>
      <c r="S21" s="42" t="n">
        <f aca="false">_xlfn.STDEV.P(B41:D41)</f>
        <v>65.7477497616244</v>
      </c>
      <c r="T21" s="42"/>
      <c r="U21" s="42" t="n">
        <f aca="false">AVERAGE((B41/B28),(C41/C28),(D41/D28))</f>
        <v>87.1445797296557</v>
      </c>
      <c r="V21" s="42" t="n">
        <f aca="false">-(U21-$U$23)</f>
        <v>-94.649598639169</v>
      </c>
      <c r="W21" s="42" t="n">
        <f aca="false">_xlfn.STDEV.P((B41/B28),(C41/C28),(D41/D28))</f>
        <v>273.948957340102</v>
      </c>
      <c r="X21" s="42"/>
      <c r="Y21" s="43" t="n">
        <f aca="false">V21/($S$11*$S$12)*1000</f>
        <v>-42.7119127433073</v>
      </c>
      <c r="Z21" s="44" t="n">
        <f aca="false">W21/($S$11*$S$12)*1000</f>
        <v>123.623175694992</v>
      </c>
      <c r="AA21" s="38"/>
      <c r="AB21" s="39"/>
    </row>
    <row r="22" customFormat="false" ht="15" hidden="false" customHeight="true" outlineLevel="0" collapsed="false">
      <c r="B22" s="8" t="n">
        <v>1</v>
      </c>
      <c r="C22" s="8" t="n">
        <v>2</v>
      </c>
      <c r="D22" s="8" t="n">
        <v>3</v>
      </c>
      <c r="E22" s="8" t="n">
        <v>4</v>
      </c>
      <c r="F22" s="8" t="n">
        <v>5</v>
      </c>
      <c r="G22" s="8" t="n">
        <v>6</v>
      </c>
      <c r="H22" s="8" t="n">
        <v>7</v>
      </c>
      <c r="I22" s="8" t="n">
        <v>8</v>
      </c>
      <c r="J22" s="8" t="n">
        <v>9</v>
      </c>
      <c r="K22" s="8" t="n">
        <v>10</v>
      </c>
      <c r="L22" s="8" t="n">
        <v>11</v>
      </c>
      <c r="M22" s="8" t="n">
        <v>12</v>
      </c>
      <c r="O22" s="33" t="str">
        <f aca="false">B18</f>
        <v>C122–A036</v>
      </c>
      <c r="P22" s="34"/>
      <c r="Q22" s="35" t="n">
        <f aca="false">AVERAGE(B42:D42)</f>
        <v>65.8245372161987</v>
      </c>
      <c r="R22" s="35" t="n">
        <f aca="false">Q22-$Q$23</f>
        <v>67.6257417544819</v>
      </c>
      <c r="S22" s="35" t="n">
        <f aca="false">_xlfn.STDEV.P(B42:D42)</f>
        <v>37.0200008792337</v>
      </c>
      <c r="T22" s="35"/>
      <c r="U22" s="35" t="n">
        <f aca="false">AVERAGE((B42/B29),(C42/C29),(D42/D29))</f>
        <v>274.268905067495</v>
      </c>
      <c r="V22" s="35" t="n">
        <f aca="false">-(U22-$U$23)</f>
        <v>-281.773923977008</v>
      </c>
      <c r="W22" s="35" t="n">
        <f aca="false">_xlfn.STDEV.P((B42/B29),(C42/C29),(D42/D29))</f>
        <v>154.250003663474</v>
      </c>
      <c r="X22" s="35"/>
      <c r="Y22" s="36" t="n">
        <f aca="false">V22/($S$11*$S$12)*1000</f>
        <v>-127.15429782356</v>
      </c>
      <c r="Z22" s="37" t="n">
        <f aca="false">W22/($S$11*$S$12)*1000</f>
        <v>69.6074023752139</v>
      </c>
      <c r="AA22" s="38"/>
      <c r="AB22" s="39"/>
    </row>
    <row r="23" customFormat="false" ht="15" hidden="false" customHeight="true" outlineLevel="0" collapsed="false">
      <c r="A23" s="8" t="s">
        <v>15</v>
      </c>
      <c r="B23" s="49" t="n">
        <v>0.24</v>
      </c>
      <c r="C23" s="50" t="n">
        <v>0.24</v>
      </c>
      <c r="D23" s="50" t="n">
        <v>0.24</v>
      </c>
      <c r="E23" s="50" t="n">
        <v>0.24</v>
      </c>
      <c r="F23" s="50" t="n">
        <v>0.24</v>
      </c>
      <c r="G23" s="50" t="n">
        <v>0.24</v>
      </c>
      <c r="H23" s="50" t="n">
        <v>0.24</v>
      </c>
      <c r="I23" s="50" t="n">
        <v>0.24</v>
      </c>
      <c r="J23" s="50" t="n">
        <v>0.24</v>
      </c>
      <c r="K23" s="50" t="n">
        <v>0.24</v>
      </c>
      <c r="L23" s="50" t="n">
        <v>0.24</v>
      </c>
      <c r="M23" s="51" t="n">
        <v>0.24</v>
      </c>
      <c r="O23" s="52" t="str">
        <f aca="false">B19</f>
        <v>C122 w/o amine</v>
      </c>
      <c r="P23" s="53"/>
      <c r="Q23" s="54" t="n">
        <f aca="false">AVERAGE(B43:D43)</f>
        <v>-1.8012045382832</v>
      </c>
      <c r="R23" s="54"/>
      <c r="S23" s="54" t="n">
        <f aca="false">_xlfn.STDEV.P(B43:D43)</f>
        <v>0.135093228151923</v>
      </c>
      <c r="T23" s="54"/>
      <c r="U23" s="54" t="n">
        <f aca="false">AVERAGE((B43/B30),(C43/C30),(D43/D30))</f>
        <v>-7.50501890951332</v>
      </c>
      <c r="V23" s="54" t="n">
        <f aca="false">-U23</f>
        <v>7.50501890951332</v>
      </c>
      <c r="W23" s="54" t="n">
        <f aca="false">_xlfn.STDEV.P((B43/B30),(C43/C30),(D43/D30))</f>
        <v>0.562888450633012</v>
      </c>
      <c r="X23" s="54"/>
      <c r="Y23" s="54" t="n">
        <f aca="false">V23/($S$11*$S$12)*1000</f>
        <v>3.38674138515944</v>
      </c>
      <c r="Z23" s="55" t="n">
        <f aca="false">W23/($S$11*$S$12)*1000</f>
        <v>0.254011033679157</v>
      </c>
      <c r="AA23" s="38"/>
    </row>
    <row r="24" customFormat="false" ht="15" hidden="false" customHeight="true" outlineLevel="0" collapsed="false">
      <c r="A24" s="8" t="s">
        <v>21</v>
      </c>
      <c r="B24" s="56" t="n">
        <v>0.24</v>
      </c>
      <c r="C24" s="57" t="n">
        <v>0.24</v>
      </c>
      <c r="D24" s="57" t="n">
        <v>0.24</v>
      </c>
      <c r="E24" s="57" t="n">
        <v>0.24</v>
      </c>
      <c r="F24" s="57" t="n">
        <v>0.24</v>
      </c>
      <c r="G24" s="57" t="n">
        <v>0.24</v>
      </c>
      <c r="H24" s="57" t="n">
        <v>0.24</v>
      </c>
      <c r="I24" s="57" t="n">
        <v>0.24</v>
      </c>
      <c r="J24" s="57" t="n">
        <v>0.24</v>
      </c>
      <c r="K24" s="57" t="n">
        <v>0.24</v>
      </c>
      <c r="L24" s="57" t="n">
        <v>0.24</v>
      </c>
      <c r="M24" s="58" t="n">
        <v>0.24</v>
      </c>
      <c r="O24" s="40" t="str">
        <f aca="false">E12</f>
        <v>C003–A001</v>
      </c>
      <c r="P24" s="59"/>
      <c r="Q24" s="60" t="n">
        <f aca="false">AVERAGE(E36:G36)</f>
        <v>-1.41041280816562</v>
      </c>
      <c r="R24" s="60" t="n">
        <f aca="false">Q24-$Q$31</f>
        <v>0.104578068623003</v>
      </c>
      <c r="S24" s="42" t="n">
        <f aca="false">_xlfn.STDEV.P(E36:G36)</f>
        <v>0.165421655343477</v>
      </c>
      <c r="T24" s="59"/>
      <c r="U24" s="42" t="n">
        <f aca="false">AVERAGE((E36/E23),(F36/F23),(G36/G23))</f>
        <v>-5.87672003402342</v>
      </c>
      <c r="V24" s="60" t="n">
        <f aca="false">-(U24-$U$31)</f>
        <v>-0.435741952595848</v>
      </c>
      <c r="W24" s="42" t="n">
        <f aca="false">_xlfn.STDEV.P((E36/E23),(F36/F23),(G36/G23))</f>
        <v>0.689256897264488</v>
      </c>
      <c r="X24" s="59"/>
      <c r="Y24" s="43" t="n">
        <f aca="false">V24/($S$11*$S$12)*1000</f>
        <v>-0.196634455142531</v>
      </c>
      <c r="Z24" s="44" t="n">
        <f aca="false">W24/($S$11*$S$12)*1000</f>
        <v>0.31103650598578</v>
      </c>
      <c r="AA24" s="38" t="str">
        <f aca="false">IF(AND(Y24&gt;(Z24*5),Y24&gt;($Y$31/2)),"Hit","")</f>
        <v/>
      </c>
      <c r="AB24" s="39" t="str">
        <f aca="false">IF(AND(Y24&gt;(Z24*3),Y24&gt;($Y$31/2)),"Hit","")</f>
        <v/>
      </c>
    </row>
    <row r="25" customFormat="false" ht="15" hidden="false" customHeight="true" outlineLevel="0" collapsed="false">
      <c r="A25" s="8" t="s">
        <v>26</v>
      </c>
      <c r="B25" s="56" t="n">
        <v>0.24</v>
      </c>
      <c r="C25" s="57" t="n">
        <v>0.24</v>
      </c>
      <c r="D25" s="57" t="n">
        <v>0.24</v>
      </c>
      <c r="E25" s="57" t="n">
        <v>0.24</v>
      </c>
      <c r="F25" s="57" t="n">
        <v>0.24</v>
      </c>
      <c r="G25" s="57" t="n">
        <v>0.24</v>
      </c>
      <c r="H25" s="57" t="n">
        <v>0.24</v>
      </c>
      <c r="I25" s="57" t="n">
        <v>0.24</v>
      </c>
      <c r="J25" s="57" t="n">
        <v>0.24</v>
      </c>
      <c r="K25" s="57" t="n">
        <v>0.24</v>
      </c>
      <c r="L25" s="57" t="n">
        <v>0.24</v>
      </c>
      <c r="M25" s="58" t="n">
        <v>0.24</v>
      </c>
      <c r="O25" s="40" t="str">
        <f aca="false">E13</f>
        <v>C003–A002</v>
      </c>
      <c r="P25" s="59"/>
      <c r="Q25" s="60" t="n">
        <f aca="false">AVERAGE(E37:G37)</f>
        <v>-1.37378825918153</v>
      </c>
      <c r="R25" s="60" t="n">
        <f aca="false">Q25-$Q$31</f>
        <v>0.141202617607093</v>
      </c>
      <c r="S25" s="42" t="n">
        <f aca="false">_xlfn.STDEV.P(E37:G37)</f>
        <v>0.0622895672995745</v>
      </c>
      <c r="T25" s="59"/>
      <c r="U25" s="42" t="n">
        <f aca="false">AVERAGE((E37/E24),(F37/F24),(G37/G24))</f>
        <v>-5.72411774658971</v>
      </c>
      <c r="V25" s="60" t="n">
        <f aca="false">-(U25-$U$31)</f>
        <v>-0.588344240029556</v>
      </c>
      <c r="W25" s="42" t="n">
        <f aca="false">_xlfn.STDEV.P((E37/E24),(F37/F24),(G37/G24))</f>
        <v>0.259539863748227</v>
      </c>
      <c r="X25" s="59"/>
      <c r="Y25" s="43" t="n">
        <f aca="false">V25/($S$11*$S$12)*1000</f>
        <v>-0.265498303262435</v>
      </c>
      <c r="Z25" s="44" t="n">
        <f aca="false">W25/($S$11*$S$12)*1000</f>
        <v>0.117120877142702</v>
      </c>
      <c r="AA25" s="38" t="str">
        <f aca="false">IF(AND(Y25&gt;(Z25*5),Y25&gt;($Y$31/2)),"Hit","")</f>
        <v/>
      </c>
      <c r="AB25" s="39" t="str">
        <f aca="false">IF(AND(Y25&gt;(Z25*3),Y25&gt;($Y$31/2)),"Hit","")</f>
        <v/>
      </c>
    </row>
    <row r="26" customFormat="false" ht="15" hidden="false" customHeight="true" outlineLevel="0" collapsed="false">
      <c r="A26" s="8" t="s">
        <v>36</v>
      </c>
      <c r="B26" s="56" t="n">
        <v>0.24</v>
      </c>
      <c r="C26" s="57" t="n">
        <v>0.24</v>
      </c>
      <c r="D26" s="57" t="n">
        <v>0.24</v>
      </c>
      <c r="E26" s="57" t="n">
        <v>0.24</v>
      </c>
      <c r="F26" s="57" t="n">
        <v>0.24</v>
      </c>
      <c r="G26" s="57" t="n">
        <v>0.24</v>
      </c>
      <c r="H26" s="57" t="n">
        <v>0.24</v>
      </c>
      <c r="I26" s="57" t="n">
        <v>0.24</v>
      </c>
      <c r="J26" s="57" t="n">
        <v>0.24</v>
      </c>
      <c r="K26" s="57" t="n">
        <v>0.24</v>
      </c>
      <c r="L26" s="57" t="n">
        <v>0.24</v>
      </c>
      <c r="M26" s="58" t="n">
        <v>0.24</v>
      </c>
      <c r="O26" s="40" t="str">
        <f aca="false">E14</f>
        <v>C003–A006</v>
      </c>
      <c r="P26" s="59"/>
      <c r="Q26" s="60" t="n">
        <f aca="false">AVERAGE(E38:G38)</f>
        <v>-1.19238314743933</v>
      </c>
      <c r="R26" s="60" t="n">
        <f aca="false">Q26-$Q$31</f>
        <v>0.322607729349296</v>
      </c>
      <c r="S26" s="42" t="n">
        <f aca="false">_xlfn.STDEV.P(E38:G38)</f>
        <v>0.0879168584721036</v>
      </c>
      <c r="T26" s="59"/>
      <c r="U26" s="42" t="n">
        <f aca="false">AVERAGE((E38/E25),(F38/F25),(G38/G25))</f>
        <v>-4.96826311433053</v>
      </c>
      <c r="V26" s="60" t="n">
        <f aca="false">-(U26-$U$31)</f>
        <v>-1.34419887228874</v>
      </c>
      <c r="W26" s="42" t="n">
        <f aca="false">_xlfn.STDEV.P((E38/E25),(F38/F25),(G38/G25))</f>
        <v>0.366320243633765</v>
      </c>
      <c r="X26" s="59"/>
      <c r="Y26" s="43" t="n">
        <f aca="false">V26/($S$11*$S$12)*1000</f>
        <v>-0.606587938758455</v>
      </c>
      <c r="Z26" s="44" t="n">
        <f aca="false">W26/($S$11*$S$12)*1000</f>
        <v>0.165306969148811</v>
      </c>
      <c r="AA26" s="38" t="str">
        <f aca="false">IF(AND(Y26&gt;(Z26*5),Y26&gt;($Y$31/2)),"Hit","")</f>
        <v/>
      </c>
      <c r="AB26" s="39" t="str">
        <f aca="false">IF(AND(Y26&gt;(Z26*3),Y26&gt;($Y$31/2)),"Hit","")</f>
        <v/>
      </c>
    </row>
    <row r="27" customFormat="false" ht="15" hidden="false" customHeight="true" outlineLevel="0" collapsed="false">
      <c r="A27" s="8" t="s">
        <v>46</v>
      </c>
      <c r="B27" s="56" t="n">
        <v>0.24</v>
      </c>
      <c r="C27" s="57" t="n">
        <v>0.24</v>
      </c>
      <c r="D27" s="57" t="n">
        <v>0.24</v>
      </c>
      <c r="E27" s="57" t="n">
        <v>0.24</v>
      </c>
      <c r="F27" s="57" t="n">
        <v>0.24</v>
      </c>
      <c r="G27" s="57" t="n">
        <v>0.24</v>
      </c>
      <c r="H27" s="57" t="n">
        <v>0.24</v>
      </c>
      <c r="I27" s="57" t="n">
        <v>0.24</v>
      </c>
      <c r="J27" s="57" t="n">
        <v>0.24</v>
      </c>
      <c r="K27" s="57" t="n">
        <v>0.24</v>
      </c>
      <c r="L27" s="57" t="n">
        <v>0.24</v>
      </c>
      <c r="M27" s="58" t="n">
        <v>0.24</v>
      </c>
      <c r="O27" s="40" t="str">
        <f aca="false">E15</f>
        <v>C003–A011</v>
      </c>
      <c r="P27" s="59"/>
      <c r="Q27" s="60" t="n">
        <f aca="false">AVERAGE(E39:G39)</f>
        <v>-1.49220068321193</v>
      </c>
      <c r="R27" s="60" t="n">
        <f aca="false">Q27-$Q$31</f>
        <v>0.0227901935766965</v>
      </c>
      <c r="S27" s="42" t="n">
        <f aca="false">_xlfn.STDEV.P(E39:G39)</f>
        <v>0.218959551393617</v>
      </c>
      <c r="T27" s="59"/>
      <c r="U27" s="42" t="n">
        <f aca="false">AVERAGE((E39/E26),(F39/F26),(G39/G26))</f>
        <v>-6.21750284671636</v>
      </c>
      <c r="V27" s="60" t="n">
        <f aca="false">-(U27-$U$31)</f>
        <v>-0.0949591399029037</v>
      </c>
      <c r="W27" s="42" t="n">
        <f aca="false">_xlfn.STDEV.P((E39/E26),(F39/F26),(G39/G26))</f>
        <v>0.912331464140071</v>
      </c>
      <c r="X27" s="59"/>
      <c r="Y27" s="43" t="n">
        <f aca="false">V27/($S$11*$S$12)*1000</f>
        <v>-0.0428515974291082</v>
      </c>
      <c r="Z27" s="44" t="n">
        <f aca="false">W27/($S$11*$S$12)*1000</f>
        <v>0.411701924250935</v>
      </c>
      <c r="AA27" s="38" t="str">
        <f aca="false">IF(AND(Y27&gt;(Z27*5),Y27&gt;($Y$31/2)),"Hit","")</f>
        <v/>
      </c>
      <c r="AB27" s="39" t="str">
        <f aca="false">IF(AND(Y27&gt;(Z27*3),Y27&gt;($Y$31/2)),"Hit","")</f>
        <v/>
      </c>
    </row>
    <row r="28" customFormat="false" ht="15" hidden="false" customHeight="true" outlineLevel="0" collapsed="false">
      <c r="A28" s="8" t="s">
        <v>51</v>
      </c>
      <c r="B28" s="61" t="n">
        <v>0.24</v>
      </c>
      <c r="C28" s="62" t="n">
        <v>0.24</v>
      </c>
      <c r="D28" s="62" t="n">
        <v>0.24</v>
      </c>
      <c r="E28" s="57" t="n">
        <v>0.24</v>
      </c>
      <c r="F28" s="57" t="n">
        <v>0.24</v>
      </c>
      <c r="G28" s="57" t="n">
        <v>0.24</v>
      </c>
      <c r="H28" s="57" t="n">
        <v>0.24</v>
      </c>
      <c r="I28" s="57" t="n">
        <v>0.24</v>
      </c>
      <c r="J28" s="57" t="n">
        <v>0.24</v>
      </c>
      <c r="K28" s="57" t="n">
        <v>0.24</v>
      </c>
      <c r="L28" s="57" t="n">
        <v>0.24</v>
      </c>
      <c r="M28" s="58" t="n">
        <v>0.24</v>
      </c>
      <c r="O28" s="40" t="str">
        <f aca="false">E16</f>
        <v>C003–A025</v>
      </c>
      <c r="P28" s="59"/>
      <c r="Q28" s="60" t="n">
        <f aca="false">AVERAGE(E40:G40)</f>
        <v>-1.02766047934587</v>
      </c>
      <c r="R28" s="60" t="n">
        <f aca="false">Q28-$Q$31</f>
        <v>0.487330397442755</v>
      </c>
      <c r="S28" s="42" t="n">
        <f aca="false">_xlfn.STDEV.P(E40:G40)</f>
        <v>0.109303075316452</v>
      </c>
      <c r="T28" s="59"/>
      <c r="U28" s="42" t="n">
        <f aca="false">AVERAGE((E40/E27),(F40/F27),(G40/G27))</f>
        <v>-4.28191866394112</v>
      </c>
      <c r="V28" s="60" t="n">
        <f aca="false">-(U28-$U$31)</f>
        <v>-2.03054332267815</v>
      </c>
      <c r="W28" s="42" t="n">
        <f aca="false">_xlfn.STDEV.P((E40/E27),(F40/F27),(G40/G27))</f>
        <v>0.455429480485217</v>
      </c>
      <c r="X28" s="59"/>
      <c r="Y28" s="43" t="n">
        <f aca="false">V28/($S$11*$S$12)*1000</f>
        <v>-0.916310163663423</v>
      </c>
      <c r="Z28" s="44" t="n">
        <f aca="false">W28/($S$11*$S$12)*1000</f>
        <v>0.205518718630513</v>
      </c>
      <c r="AA28" s="38" t="str">
        <f aca="false">IF(AND(Y28&gt;(Z28*5),Y28&gt;($Y$31/2)),"Hit","")</f>
        <v/>
      </c>
      <c r="AB28" s="39" t="str">
        <f aca="false">IF(AND(Y28&gt;(Z28*3),Y28&gt;($Y$31/2)),"Hit","")</f>
        <v/>
      </c>
    </row>
    <row r="29" customFormat="false" ht="15" hidden="false" customHeight="true" outlineLevel="0" collapsed="false">
      <c r="A29" s="8" t="s">
        <v>56</v>
      </c>
      <c r="B29" s="61" t="n">
        <v>0.24</v>
      </c>
      <c r="C29" s="62" t="n">
        <v>0.24</v>
      </c>
      <c r="D29" s="62" t="n">
        <v>0.24</v>
      </c>
      <c r="E29" s="57" t="n">
        <v>0.24</v>
      </c>
      <c r="F29" s="57" t="n">
        <v>0.24</v>
      </c>
      <c r="G29" s="57" t="n">
        <v>0.24</v>
      </c>
      <c r="H29" s="57" t="n">
        <v>0.24</v>
      </c>
      <c r="I29" s="57" t="n">
        <v>0.24</v>
      </c>
      <c r="J29" s="57" t="n">
        <v>0.24</v>
      </c>
      <c r="K29" s="57" t="n">
        <v>0.24</v>
      </c>
      <c r="L29" s="57" t="n">
        <v>0.24</v>
      </c>
      <c r="M29" s="58" t="n">
        <v>0.24</v>
      </c>
      <c r="O29" s="40" t="str">
        <f aca="false">E17</f>
        <v>C003–A030</v>
      </c>
      <c r="P29" s="63"/>
      <c r="Q29" s="60" t="n">
        <f aca="false">AVERAGE(E41:G41)</f>
        <v>-0.57274011880754</v>
      </c>
      <c r="R29" s="60" t="n">
        <f aca="false">Q29-$Q$31</f>
        <v>0.942250757981083</v>
      </c>
      <c r="S29" s="42" t="n">
        <f aca="false">_xlfn.STDEV.P(E41:G41)</f>
        <v>0.0309173368200379</v>
      </c>
      <c r="T29" s="59"/>
      <c r="U29" s="42" t="n">
        <f aca="false">AVERAGE((E41/E28),(F41/F28),(G41/G28))</f>
        <v>-2.38641716169808</v>
      </c>
      <c r="V29" s="60" t="n">
        <f aca="false">-(U29-$U$31)</f>
        <v>-3.92604482492118</v>
      </c>
      <c r="W29" s="42" t="n">
        <f aca="false">_xlfn.STDEV.P((E41/E28),(F41/F28),(G41/G28))</f>
        <v>0.128822236750158</v>
      </c>
      <c r="X29" s="59"/>
      <c r="Y29" s="43" t="n">
        <f aca="false">V29/($S$11*$S$12)*1000</f>
        <v>-1.77168087767201</v>
      </c>
      <c r="Z29" s="44" t="n">
        <f aca="false">W29/($S$11*$S$12)*1000</f>
        <v>0.0581327783168582</v>
      </c>
      <c r="AA29" s="38" t="str">
        <f aca="false">IF(AND(Y29&gt;(Z29*5),Y29&gt;($Y$31/2)),"Hit","")</f>
        <v/>
      </c>
      <c r="AB29" s="39" t="str">
        <f aca="false">IF(AND(Y29&gt;(Z29*3),Y29&gt;($Y$31/2)),"Hit","")</f>
        <v/>
      </c>
    </row>
    <row r="30" customFormat="false" ht="15" hidden="false" customHeight="true" outlineLevel="0" collapsed="false">
      <c r="A30" s="8" t="s">
        <v>61</v>
      </c>
      <c r="B30" s="64" t="n">
        <v>0.24</v>
      </c>
      <c r="C30" s="65" t="n">
        <v>0.24</v>
      </c>
      <c r="D30" s="65" t="n">
        <v>0.24</v>
      </c>
      <c r="E30" s="65" t="n">
        <v>0.24</v>
      </c>
      <c r="F30" s="65" t="n">
        <v>0.24</v>
      </c>
      <c r="G30" s="65" t="n">
        <v>0.24</v>
      </c>
      <c r="H30" s="65" t="n">
        <v>0.24</v>
      </c>
      <c r="I30" s="65" t="n">
        <v>0.24</v>
      </c>
      <c r="J30" s="65" t="n">
        <v>0.24</v>
      </c>
      <c r="K30" s="65" t="n">
        <v>0.24</v>
      </c>
      <c r="L30" s="65" t="n">
        <v>0.24</v>
      </c>
      <c r="M30" s="66" t="n">
        <v>0.24</v>
      </c>
      <c r="O30" s="40" t="str">
        <f aca="false">E18</f>
        <v>C003–A036</v>
      </c>
      <c r="P30" s="67"/>
      <c r="Q30" s="60" t="n">
        <f aca="false">AVERAGE(E42:G42)</f>
        <v>-1.01653153338547</v>
      </c>
      <c r="R30" s="60" t="n">
        <f aca="false">Q30-$Q$31</f>
        <v>0.498459343403151</v>
      </c>
      <c r="S30" s="42" t="n">
        <f aca="false">_xlfn.STDEV.P(E42:G42)</f>
        <v>0.0859758128275382</v>
      </c>
      <c r="T30" s="67"/>
      <c r="U30" s="42" t="n">
        <f aca="false">AVERAGE((E42/E29),(F42/F29),(G42/G29))</f>
        <v>-4.2355480557728</v>
      </c>
      <c r="V30" s="60" t="n">
        <f aca="false">-(U30-$U$31)</f>
        <v>-2.07691393084646</v>
      </c>
      <c r="W30" s="42" t="n">
        <f aca="false">_xlfn.STDEV.P((E42/E29),(F42/F29),(G42/G29))</f>
        <v>0.358232553448076</v>
      </c>
      <c r="X30" s="67"/>
      <c r="Y30" s="43" t="n">
        <f aca="false">V30/($S$11*$S$12)*1000</f>
        <v>-0.937235528360318</v>
      </c>
      <c r="Z30" s="44" t="n">
        <f aca="false">W30/($S$11*$S$12)*1000</f>
        <v>0.161657289462128</v>
      </c>
      <c r="AA30" s="38" t="str">
        <f aca="false">IF(AND(Y30&gt;(Z30*5),Y30&gt;($Y$31/2)),"Hit","")</f>
        <v/>
      </c>
      <c r="AB30" s="39" t="str">
        <f aca="false">IF(AND(Y30&gt;(Z30*3),Y30&gt;($Y$31/2)),"Hit","")</f>
        <v/>
      </c>
    </row>
    <row r="31" customFormat="false" ht="15" hidden="false" customHeight="true" outlineLevel="0" collapsed="false">
      <c r="O31" s="52" t="str">
        <f aca="false">E19</f>
        <v>C003 w/o amine</v>
      </c>
      <c r="P31" s="53"/>
      <c r="Q31" s="68" t="n">
        <f aca="false">AVERAGE(E43:G43)</f>
        <v>-1.51499087678862</v>
      </c>
      <c r="R31" s="68"/>
      <c r="S31" s="54" t="n">
        <f aca="false">_xlfn.STDEV.P(E43:G43)</f>
        <v>0.142343568884371</v>
      </c>
      <c r="T31" s="69"/>
      <c r="U31" s="54" t="n">
        <f aca="false">AVERAGE((E43/E30),(F43/F30),(G43/G30))</f>
        <v>-6.31246198661926</v>
      </c>
      <c r="V31" s="70" t="n">
        <f aca="false">-U31</f>
        <v>6.31246198661926</v>
      </c>
      <c r="W31" s="54" t="n">
        <f aca="false">_xlfn.STDEV.P((E43/E30),(F43/F30),(G43/G30))</f>
        <v>0.593098203684877</v>
      </c>
      <c r="X31" s="69"/>
      <c r="Y31" s="54" t="n">
        <f aca="false">V31/($S$11*$S$12)*1000</f>
        <v>2.84858392897981</v>
      </c>
      <c r="Z31" s="55" t="n">
        <f aca="false">W31/($S$11*$S$12)*1000</f>
        <v>0.267643593720612</v>
      </c>
      <c r="AA31" s="38"/>
    </row>
    <row r="32" customFormat="false" ht="15" hidden="false" customHeight="true" outlineLevel="0" collapsed="false">
      <c r="B32" s="71"/>
      <c r="C32" s="72" t="s">
        <v>68</v>
      </c>
      <c r="O32" s="73" t="str">
        <f aca="false">H12</f>
        <v>C067–A001</v>
      </c>
      <c r="P32" s="26"/>
      <c r="Q32" s="74" t="n">
        <f aca="false">AVERAGE(H36:J36)</f>
        <v>-1.08440822598126</v>
      </c>
      <c r="R32" s="74" t="n">
        <f aca="false">Q32-$Q$39</f>
        <v>0.442029880232127</v>
      </c>
      <c r="S32" s="35" t="n">
        <f aca="false">_xlfn.STDEV.P(H36:J36)</f>
        <v>0.0773115479390671</v>
      </c>
      <c r="T32" s="30"/>
      <c r="U32" s="35" t="n">
        <f aca="false">AVERAGE((H36/H23),(I36/I23),(J36/J23))</f>
        <v>-4.51836760825525</v>
      </c>
      <c r="V32" s="74" t="n">
        <f aca="false">-(U32-$U$39)</f>
        <v>-1.84179116763386</v>
      </c>
      <c r="W32" s="35" t="n">
        <f aca="false">_xlfn.STDEV.P((H36/H23),(I36/I23),(J36/J23))</f>
        <v>0.322131449746113</v>
      </c>
      <c r="X32" s="30"/>
      <c r="Y32" s="36" t="n">
        <f aca="false">V32/($S$11*$S$12)*1000</f>
        <v>-0.831133198390731</v>
      </c>
      <c r="Z32" s="37" t="n">
        <f aca="false">W32/($S$11*$S$12)*1000</f>
        <v>0.145366177683264</v>
      </c>
      <c r="AA32" s="38" t="str">
        <f aca="false">IF(AND(Y32&gt;(Z32*5),Y32&gt;($Y$39/2)),"Hit","")</f>
        <v/>
      </c>
      <c r="AB32" s="39" t="str">
        <f aca="false">IF(AND(Y32&gt;(Z32*3),Y32&gt;($Y$39/2)),"Hit","")</f>
        <v/>
      </c>
    </row>
    <row r="33" customFormat="false" ht="15" hidden="false" customHeight="true" outlineLevel="0" collapsed="false">
      <c r="O33" s="73" t="str">
        <f aca="false">H13</f>
        <v>C067–A002</v>
      </c>
      <c r="P33" s="34"/>
      <c r="Q33" s="74" t="n">
        <f aca="false">AVERAGE(H37:J37)</f>
        <v>-1.00869517498732</v>
      </c>
      <c r="R33" s="74" t="n">
        <f aca="false">Q33-$Q$39</f>
        <v>0.517742931226072</v>
      </c>
      <c r="S33" s="35" t="n">
        <f aca="false">_xlfn.STDEV.P(H37:J37)</f>
        <v>0.0392653648683781</v>
      </c>
      <c r="T33" s="35"/>
      <c r="U33" s="35" t="n">
        <f aca="false">AVERAGE((H37/H24),(I37/I24),(J37/J24))</f>
        <v>-4.20289656244715</v>
      </c>
      <c r="V33" s="74" t="n">
        <f aca="false">-(U33-$U$39)</f>
        <v>-2.15726221344197</v>
      </c>
      <c r="W33" s="35" t="n">
        <f aca="false">_xlfn.STDEV.P((H37/H24),(I37/I24),(J37/J24))</f>
        <v>0.163605686951575</v>
      </c>
      <c r="X33" s="35"/>
      <c r="Y33" s="36" t="n">
        <f aca="false">V33/($S$11*$S$12)*1000</f>
        <v>-0.973493778629046</v>
      </c>
      <c r="Z33" s="37" t="n">
        <f aca="false">W33/($S$11*$S$12)*1000</f>
        <v>0.0738292811153318</v>
      </c>
      <c r="AA33" s="38" t="str">
        <f aca="false">IF(AND(Y33&gt;(Z33*5),Y33&gt;($Y$39/2)),"Hit","")</f>
        <v/>
      </c>
      <c r="AB33" s="39" t="str">
        <f aca="false">IF(AND(Y33&gt;(Z33*3),Y33&gt;($Y$39/2)),"Hit","")</f>
        <v/>
      </c>
    </row>
    <row r="34" customFormat="false" ht="15" hidden="false" customHeight="true" outlineLevel="0" collapsed="false">
      <c r="A34" s="2" t="s">
        <v>69</v>
      </c>
      <c r="E34" s="48" t="s">
        <v>70</v>
      </c>
      <c r="O34" s="75" t="str">
        <f aca="false">H14</f>
        <v>C067–A006</v>
      </c>
      <c r="P34" s="41"/>
      <c r="Q34" s="60" t="n">
        <f aca="false">AVERAGE(H38:J38)</f>
        <v>-0.979111275740496</v>
      </c>
      <c r="R34" s="60" t="n">
        <f aca="false">Q34-$Q$39</f>
        <v>0.547326830472891</v>
      </c>
      <c r="S34" s="42" t="n">
        <f aca="false">_xlfn.STDEV.P(H38:J38)</f>
        <v>0.0404734918949061</v>
      </c>
      <c r="T34" s="42"/>
      <c r="U34" s="42" t="n">
        <f aca="false">AVERAGE((H38/H25),(I38/I25),(J38/J25))</f>
        <v>-4.0796303155854</v>
      </c>
      <c r="V34" s="60" t="n">
        <f aca="false">-(U34-$U$39)</f>
        <v>-2.28052846030371</v>
      </c>
      <c r="W34" s="42" t="n">
        <f aca="false">_xlfn.STDEV.P((H38/H25),(I38/I25),(J38/J25))</f>
        <v>0.168639549562109</v>
      </c>
      <c r="X34" s="42"/>
      <c r="Y34" s="43" t="n">
        <f aca="false">V34/($S$11*$S$12)*1000</f>
        <v>-1.02911934129229</v>
      </c>
      <c r="Z34" s="44" t="n">
        <f aca="false">W34/($S$11*$S$12)*1000</f>
        <v>0.0761008797662947</v>
      </c>
      <c r="AA34" s="38" t="str">
        <f aca="false">IF(AND(Y34&gt;(Z34*5),Y34&gt;($Y$39/2)),"Hit","")</f>
        <v/>
      </c>
      <c r="AB34" s="39" t="str">
        <f aca="false">IF(AND(Y34&gt;(Z34*3),Y34&gt;($Y$39/2)),"Hit","")</f>
        <v/>
      </c>
    </row>
    <row r="35" customFormat="false" ht="15" hidden="false" customHeight="true" outlineLevel="0" collapsed="false">
      <c r="B35" s="8" t="n">
        <v>1</v>
      </c>
      <c r="C35" s="8" t="n">
        <v>2</v>
      </c>
      <c r="D35" s="8" t="n">
        <v>3</v>
      </c>
      <c r="E35" s="8" t="n">
        <v>4</v>
      </c>
      <c r="F35" s="8" t="n">
        <v>5</v>
      </c>
      <c r="G35" s="8" t="n">
        <v>6</v>
      </c>
      <c r="H35" s="8" t="n">
        <v>7</v>
      </c>
      <c r="I35" s="8" t="n">
        <v>8</v>
      </c>
      <c r="J35" s="8" t="n">
        <v>9</v>
      </c>
      <c r="K35" s="8" t="n">
        <v>10</v>
      </c>
      <c r="L35" s="8" t="n">
        <v>11</v>
      </c>
      <c r="M35" s="8" t="n">
        <v>12</v>
      </c>
      <c r="O35" s="75" t="str">
        <f aca="false">H15</f>
        <v>C067–A011</v>
      </c>
      <c r="P35" s="41"/>
      <c r="Q35" s="60" t="n">
        <f aca="false">AVERAGE(H39:J39)</f>
        <v>-0.961501419928396</v>
      </c>
      <c r="R35" s="60" t="n">
        <f aca="false">Q35-$Q$39</f>
        <v>0.564936686284991</v>
      </c>
      <c r="S35" s="42" t="n">
        <f aca="false">_xlfn.STDEV.P(H39:J39)</f>
        <v>0.0294077134479155</v>
      </c>
      <c r="T35" s="42"/>
      <c r="U35" s="42" t="n">
        <f aca="false">AVERAGE((H39/H26),(I39/I26),(J39/J26))</f>
        <v>-4.00625591636832</v>
      </c>
      <c r="V35" s="60" t="n">
        <f aca="false">-(U35-$U$39)</f>
        <v>-2.3539028595208</v>
      </c>
      <c r="W35" s="42" t="n">
        <f aca="false">_xlfn.STDEV.P((H39/H26),(I39/I26),(J39/J26))</f>
        <v>0.122532139366314</v>
      </c>
      <c r="X35" s="42"/>
      <c r="Y35" s="43" t="n">
        <f aca="false">V35/($S$11*$S$12)*1000</f>
        <v>-1.06223053227473</v>
      </c>
      <c r="Z35" s="44" t="n">
        <f aca="false">W35/($S$11*$S$12)*1000</f>
        <v>0.0552942867176509</v>
      </c>
      <c r="AA35" s="38" t="str">
        <f aca="false">IF(AND(Y35&gt;(Z35*5),Y35&gt;($Y$39/2)),"Hit","")</f>
        <v/>
      </c>
      <c r="AB35" s="39" t="str">
        <f aca="false">IF(AND(Y35&gt;(Z35*3),Y35&gt;($Y$39/2)),"Hit","")</f>
        <v/>
      </c>
    </row>
    <row r="36" customFormat="false" ht="15" hidden="false" customHeight="true" outlineLevel="0" collapsed="false">
      <c r="A36" s="8" t="s">
        <v>15</v>
      </c>
      <c r="B36" s="76" t="n">
        <v>-1.54970572498662</v>
      </c>
      <c r="C36" s="77" t="n">
        <v>-1.51328970654812</v>
      </c>
      <c r="D36" s="77" t="n">
        <v>-1.51631888710542</v>
      </c>
      <c r="E36" s="77" t="n">
        <v>-1.40631353665062</v>
      </c>
      <c r="F36" s="77" t="n">
        <v>-1.20989422562457</v>
      </c>
      <c r="G36" s="77" t="n">
        <v>-1.61503066222167</v>
      </c>
      <c r="H36" s="77" t="n">
        <v>-1.19282215911429</v>
      </c>
      <c r="I36" s="77" t="n">
        <v>-1.04246614808412</v>
      </c>
      <c r="J36" s="77" t="n">
        <v>-1.01793637074537</v>
      </c>
      <c r="K36" s="77" t="n">
        <v>-1.63244845042597</v>
      </c>
      <c r="L36" s="77" t="n">
        <v>-1.46609046384328</v>
      </c>
      <c r="M36" s="78" t="n">
        <v>-1.33634605095278</v>
      </c>
      <c r="O36" s="75" t="str">
        <f aca="false">H16</f>
        <v>C067–A025</v>
      </c>
      <c r="P36" s="41"/>
      <c r="Q36" s="60" t="n">
        <f aca="false">AVERAGE(H40:J40)</f>
        <v>-0.761482213167608</v>
      </c>
      <c r="R36" s="60" t="n">
        <f aca="false">Q36-$Q$39</f>
        <v>0.764955893045778</v>
      </c>
      <c r="S36" s="42" t="n">
        <f aca="false">_xlfn.STDEV.P(H40:J40)</f>
        <v>0.0672763673707116</v>
      </c>
      <c r="T36" s="42"/>
      <c r="U36" s="42" t="n">
        <f aca="false">AVERAGE((H40/H27),(I40/I27),(J40/J27))</f>
        <v>-3.17284255486503</v>
      </c>
      <c r="V36" s="60" t="n">
        <f aca="false">-(U36-$U$39)</f>
        <v>-3.18731622102408</v>
      </c>
      <c r="W36" s="42" t="n">
        <f aca="false">_xlfn.STDEV.P((H40/H27),(I40/I27),(J40/J27))</f>
        <v>0.280318197377965</v>
      </c>
      <c r="X36" s="42"/>
      <c r="Y36" s="43" t="n">
        <f aca="false">V36/($S$11*$S$12)*1000</f>
        <v>-1.43831959432494</v>
      </c>
      <c r="Z36" s="44" t="n">
        <f aca="false">W36/($S$11*$S$12)*1000</f>
        <v>0.126497381488251</v>
      </c>
      <c r="AA36" s="38" t="str">
        <f aca="false">IF(AND(Y36&gt;(Z36*5),Y36&gt;($Y$39/2)),"Hit","")</f>
        <v/>
      </c>
      <c r="AB36" s="39" t="str">
        <f aca="false">IF(AND(Y36&gt;(Z36*3),Y36&gt;($Y$39/2)),"Hit","")</f>
        <v/>
      </c>
    </row>
    <row r="37" customFormat="false" ht="15" hidden="false" customHeight="true" outlineLevel="0" collapsed="false">
      <c r="A37" s="8" t="s">
        <v>21</v>
      </c>
      <c r="B37" s="79" t="n">
        <v>-1.44735564061408</v>
      </c>
      <c r="C37" s="80" t="n">
        <v>-1.43196279376054</v>
      </c>
      <c r="D37" s="80" t="n">
        <v>-1.41243774951641</v>
      </c>
      <c r="E37" s="80" t="n">
        <v>-1.38540560563034</v>
      </c>
      <c r="F37" s="80" t="n">
        <v>-1.44360209079311</v>
      </c>
      <c r="G37" s="80" t="n">
        <v>-1.29235708112114</v>
      </c>
      <c r="H37" s="80" t="n">
        <v>-1.05104333868382</v>
      </c>
      <c r="I37" s="80" t="n">
        <v>-0.956414372144705</v>
      </c>
      <c r="J37" s="80" t="n">
        <v>-1.01862781413342</v>
      </c>
      <c r="K37" s="80" t="n">
        <v>-1.35957525620446</v>
      </c>
      <c r="L37" s="80" t="n">
        <v>-1.70541219080543</v>
      </c>
      <c r="M37" s="81" t="n">
        <v>-0.594756554307119</v>
      </c>
      <c r="O37" s="75" t="str">
        <f aca="false">H17</f>
        <v>C067–A030</v>
      </c>
      <c r="P37" s="41"/>
      <c r="Q37" s="60" t="n">
        <f aca="false">AVERAGE(H41:J41)</f>
        <v>-0.719567573500161</v>
      </c>
      <c r="R37" s="60" t="n">
        <f aca="false">Q37-$Q$39</f>
        <v>0.806870532713225</v>
      </c>
      <c r="S37" s="42" t="n">
        <f aca="false">_xlfn.STDEV.P(H41:J41)</f>
        <v>0.069004469242885</v>
      </c>
      <c r="T37" s="42"/>
      <c r="U37" s="42" t="n">
        <f aca="false">AVERAGE((H41/H28),(I41/I28),(J41/J28))</f>
        <v>-2.99819822291734</v>
      </c>
      <c r="V37" s="60" t="n">
        <f aca="false">-(U37-$U$39)</f>
        <v>-3.36196055297177</v>
      </c>
      <c r="W37" s="42" t="n">
        <f aca="false">_xlfn.STDEV.P((H41/H28),(I41/I28),(J41/J28))</f>
        <v>0.287518621845354</v>
      </c>
      <c r="X37" s="42"/>
      <c r="Y37" s="43" t="n">
        <f aca="false">V37/($S$11*$S$12)*1000</f>
        <v>-1.51713021343492</v>
      </c>
      <c r="Z37" s="44" t="n">
        <f aca="false">W37/($S$11*$S$12)*1000</f>
        <v>0.129746670507831</v>
      </c>
      <c r="AA37" s="38" t="str">
        <f aca="false">IF(AND(Y37&gt;(Z37*5),Y37&gt;($Y$39/2)),"Hit","")</f>
        <v/>
      </c>
      <c r="AB37" s="39" t="str">
        <f aca="false">IF(AND(Y37&gt;(Z37*3),Y37&gt;($Y$39/2)),"Hit","")</f>
        <v/>
      </c>
    </row>
    <row r="38" customFormat="false" ht="15" hidden="false" customHeight="true" outlineLevel="0" collapsed="false">
      <c r="A38" s="8" t="s">
        <v>26</v>
      </c>
      <c r="B38" s="79" t="n">
        <v>-1.26055068526977</v>
      </c>
      <c r="C38" s="80" t="n">
        <v>-1.23791414577932</v>
      </c>
      <c r="D38" s="80" t="n">
        <v>-1.18834424002965</v>
      </c>
      <c r="E38" s="80" t="n">
        <v>-1.18972712680577</v>
      </c>
      <c r="F38" s="80" t="n">
        <v>-1.08606000740832</v>
      </c>
      <c r="G38" s="80" t="n">
        <v>-1.30136230810389</v>
      </c>
      <c r="H38" s="80" t="n">
        <v>-0.941021525291192</v>
      </c>
      <c r="I38" s="80" t="n">
        <v>-1.03515660369593</v>
      </c>
      <c r="J38" s="80" t="n">
        <v>-0.961155698234365</v>
      </c>
      <c r="K38" s="80" t="n">
        <v>-1.31787463472855</v>
      </c>
      <c r="L38" s="80" t="n">
        <v>-1.10626003210273</v>
      </c>
      <c r="M38" s="81" t="n">
        <v>-0.949648104704289</v>
      </c>
      <c r="O38" s="73" t="str">
        <f aca="false">H18</f>
        <v>C067–A036</v>
      </c>
      <c r="P38" s="34"/>
      <c r="Q38" s="74" t="n">
        <f aca="false">AVERAGE(H42:J42)</f>
        <v>-0.634432234432243</v>
      </c>
      <c r="R38" s="74" t="n">
        <f aca="false">Q38-$Q$39</f>
        <v>0.892005871781143</v>
      </c>
      <c r="S38" s="35" t="n">
        <f aca="false">_xlfn.STDEV.P(H42:J42)</f>
        <v>0.0469659214934175</v>
      </c>
      <c r="T38" s="35"/>
      <c r="U38" s="35" t="n">
        <f aca="false">AVERAGE((H42/H29),(I42/I29),(J42/J29))</f>
        <v>-2.64346764346768</v>
      </c>
      <c r="V38" s="74" t="n">
        <f aca="false">-(U38-$U$39)</f>
        <v>-3.71669113242143</v>
      </c>
      <c r="W38" s="35" t="n">
        <f aca="false">_xlfn.STDEV.P((H42/H29),(I42/I29),(J42/J29))</f>
        <v>0.195691339555906</v>
      </c>
      <c r="X38" s="35"/>
      <c r="Y38" s="36" t="n">
        <f aca="false">V38/($S$11*$S$12)*1000</f>
        <v>-1.67720718972086</v>
      </c>
      <c r="Z38" s="37" t="n">
        <f aca="false">W38/($S$11*$S$12)*1000</f>
        <v>0.0883083662255894</v>
      </c>
      <c r="AA38" s="38" t="str">
        <f aca="false">IF(AND(Y38&gt;(Z38*5),Y38&gt;($Y$39/2)),"Hit","")</f>
        <v/>
      </c>
      <c r="AB38" s="39" t="str">
        <f aca="false">IF(AND(Y38&gt;(Z38*3),Y38&gt;($Y$39/2)),"Hit","")</f>
        <v/>
      </c>
    </row>
    <row r="39" customFormat="false" ht="15" hidden="false" customHeight="true" outlineLevel="0" collapsed="false">
      <c r="A39" s="8" t="s">
        <v>36</v>
      </c>
      <c r="B39" s="82" t="n">
        <v>-1.59522574803474</v>
      </c>
      <c r="C39" s="83" t="n">
        <v>-1.6839774457752</v>
      </c>
      <c r="D39" s="83" t="n">
        <v>-1.61409227476644</v>
      </c>
      <c r="E39" s="83" t="n">
        <v>-1.18268098942256</v>
      </c>
      <c r="F39" s="83" t="n">
        <v>-1.65490389760054</v>
      </c>
      <c r="G39" s="83" t="n">
        <v>-1.63901716261268</v>
      </c>
      <c r="H39" s="83" t="n">
        <v>-0.940247767214067</v>
      </c>
      <c r="I39" s="83" t="n">
        <v>-0.94116969173151</v>
      </c>
      <c r="J39" s="83" t="n">
        <v>-1.00308680083961</v>
      </c>
      <c r="K39" s="83" t="n">
        <v>-1.532403177347</v>
      </c>
      <c r="L39" s="83" t="n">
        <v>-1.64023542001071</v>
      </c>
      <c r="M39" s="84" t="n">
        <v>-0.738115816767497</v>
      </c>
      <c r="O39" s="85" t="str">
        <f aca="false">H19</f>
        <v>C067 w/o amine</v>
      </c>
      <c r="P39" s="53"/>
      <c r="Q39" s="68" t="n">
        <f aca="false">AVERAGE(H43:J43)</f>
        <v>-1.52643810621339</v>
      </c>
      <c r="R39" s="54"/>
      <c r="S39" s="54" t="n">
        <f aca="false">_xlfn.STDEV.P(H43:J43)</f>
        <v>0.185892338271881</v>
      </c>
      <c r="T39" s="54"/>
      <c r="U39" s="54" t="n">
        <f aca="false">AVERAGE((H43/H30),(I43/I30),(J43/J30))</f>
        <v>-6.36015877588911</v>
      </c>
      <c r="V39" s="54" t="n">
        <f aca="false">-U39</f>
        <v>6.36015877588911</v>
      </c>
      <c r="W39" s="54" t="n">
        <f aca="false">_xlfn.STDEV.P((H43/H30),(I43/I30),(J43/J30))</f>
        <v>0.774551409466169</v>
      </c>
      <c r="X39" s="54"/>
      <c r="Y39" s="54" t="n">
        <f aca="false">V39/($S$11*$S$12)*1000</f>
        <v>2.87010775085249</v>
      </c>
      <c r="Z39" s="55" t="n">
        <f aca="false">W39/($S$11*$S$12)*1000</f>
        <v>0.349526809325888</v>
      </c>
      <c r="AA39" s="38"/>
    </row>
    <row r="40" customFormat="false" ht="15" hidden="false" customHeight="true" outlineLevel="0" collapsed="false">
      <c r="A40" s="8" t="s">
        <v>46</v>
      </c>
      <c r="B40" s="82" t="n">
        <v>-1.21804337984114</v>
      </c>
      <c r="C40" s="83" t="n">
        <v>-1.1052064040828</v>
      </c>
      <c r="D40" s="83" t="n">
        <v>-1.04941350784046</v>
      </c>
      <c r="E40" s="83" t="n">
        <v>-1.18113347326831</v>
      </c>
      <c r="F40" s="83" t="n">
        <v>-0.966901263530468</v>
      </c>
      <c r="G40" s="83" t="n">
        <v>-0.934946701238827</v>
      </c>
      <c r="H40" s="83" t="n">
        <v>-0.815030662221678</v>
      </c>
      <c r="I40" s="83" t="n">
        <v>-0.666600814915435</v>
      </c>
      <c r="J40" s="83" t="n">
        <v>-0.802815162365712</v>
      </c>
      <c r="K40" s="83" t="n">
        <v>-1.28863645717581</v>
      </c>
      <c r="L40" s="83" t="n">
        <v>-1.34121908054491</v>
      </c>
      <c r="M40" s="84" t="n">
        <v>-1.20197555253734</v>
      </c>
      <c r="O40" s="86" t="str">
        <f aca="false">K12</f>
        <v>C042–A001</v>
      </c>
      <c r="P40" s="87"/>
      <c r="Q40" s="88" t="n">
        <f aca="false">AVERAGE(K36:M36)</f>
        <v>-1.47829498840734</v>
      </c>
      <c r="R40" s="88" t="n">
        <f aca="false">Q40-$Q$47</f>
        <v>-0.614863289020587</v>
      </c>
      <c r="S40" s="89" t="n">
        <f aca="false">_xlfn.STDEV.P(K36:M36)</f>
        <v>0.121190952793023</v>
      </c>
      <c r="T40" s="89"/>
      <c r="U40" s="89" t="n">
        <f aca="false">AVERAGE((K36/K23),(L36/L23),(M36/M23))</f>
        <v>-6.15956245169727</v>
      </c>
      <c r="V40" s="88" t="n">
        <f aca="false">-(U40-$U$47)</f>
        <v>2.56193037091911</v>
      </c>
      <c r="W40" s="89" t="n">
        <f aca="false">_xlfn.STDEV.P((K36/K23),(L36/L23),(M36/M23))</f>
        <v>0.504962303304265</v>
      </c>
      <c r="X40" s="89"/>
      <c r="Y40" s="90" t="n">
        <f aca="false">V40/($S$11*$S$12)*1000</f>
        <v>1.15610576305014</v>
      </c>
      <c r="Z40" s="91" t="n">
        <f aca="false">W40/($S$11*$S$12)*1000</f>
        <v>0.227871075498314</v>
      </c>
      <c r="AA40" s="38"/>
      <c r="AB40" s="39"/>
      <c r="AC40" s="0" t="s">
        <v>71</v>
      </c>
    </row>
    <row r="41" customFormat="false" ht="15" hidden="false" customHeight="true" outlineLevel="0" collapsed="false">
      <c r="A41" s="8" t="s">
        <v>51</v>
      </c>
      <c r="B41" s="82" t="n">
        <v>-54.2171438415993</v>
      </c>
      <c r="C41" s="83" t="n">
        <v>11.0406108609634</v>
      </c>
      <c r="D41" s="83" t="n">
        <v>105.920630385988</v>
      </c>
      <c r="E41" s="83" t="n">
        <v>-0.604206280610773</v>
      </c>
      <c r="F41" s="83" t="n">
        <v>-0.583298349590491</v>
      </c>
      <c r="G41" s="83" t="n">
        <v>-0.530715726221356</v>
      </c>
      <c r="H41" s="83" t="n">
        <v>-0.636045602337747</v>
      </c>
      <c r="I41" s="83" t="n">
        <v>-0.717619459192477</v>
      </c>
      <c r="J41" s="83" t="n">
        <v>-0.805037658970259</v>
      </c>
      <c r="K41" s="83" t="n">
        <v>-1.05298596534552</v>
      </c>
      <c r="L41" s="83" t="n">
        <v>-0.762744371733143</v>
      </c>
      <c r="M41" s="84" t="n">
        <v>-1.44740502942751</v>
      </c>
      <c r="O41" s="73" t="str">
        <f aca="false">K13</f>
        <v>C042–A002</v>
      </c>
      <c r="P41" s="26"/>
      <c r="Q41" s="74" t="n">
        <f aca="false">AVERAGE(K37:M37)</f>
        <v>-1.21991466710567</v>
      </c>
      <c r="R41" s="74" t="n">
        <f aca="false">Q41-$Q$47</f>
        <v>-0.356482967718913</v>
      </c>
      <c r="S41" s="35" t="n">
        <f aca="false">_xlfn.STDEV.P(K37:M37)</f>
        <v>0.464053011218857</v>
      </c>
      <c r="T41" s="26"/>
      <c r="U41" s="35" t="n">
        <f aca="false">AVERAGE((K37/K24),(L37/L24),(M37/M24))</f>
        <v>-5.08297777960696</v>
      </c>
      <c r="V41" s="74" t="n">
        <f aca="false">-(U41-$U$47)</f>
        <v>1.4853456988288</v>
      </c>
      <c r="W41" s="35" t="n">
        <f aca="false">_xlfn.STDEV.P((K37/K24),(L37/L24),(M37/M24))</f>
        <v>1.9335542134119</v>
      </c>
      <c r="X41" s="26"/>
      <c r="Y41" s="36" t="n">
        <f aca="false">V41/($S$11*$S$12)*1000</f>
        <v>0.67028235506715</v>
      </c>
      <c r="Z41" s="37" t="n">
        <f aca="false">W41/($S$11*$S$12)*1000</f>
        <v>0.872542515077574</v>
      </c>
      <c r="AA41" s="38" t="str">
        <f aca="false">IF(AND(Y41&gt;(Z41*5),Y41&gt;($Y$47/2)),"Hit","")</f>
        <v/>
      </c>
      <c r="AB41" s="39" t="str">
        <f aca="false">IF(AND(Y41&gt;(Z41*3),Y41&gt;($Y$47/2)),"Hit","")</f>
        <v/>
      </c>
    </row>
    <row r="42" customFormat="false" ht="15" hidden="false" customHeight="true" outlineLevel="0" collapsed="false">
      <c r="A42" s="8" t="s">
        <v>56</v>
      </c>
      <c r="B42" s="79" t="n">
        <v>36.3686705347829</v>
      </c>
      <c r="C42" s="80" t="n">
        <v>118.035595242326</v>
      </c>
      <c r="D42" s="80" t="n">
        <v>43.0693458714873</v>
      </c>
      <c r="E42" s="80" t="n">
        <v>-1.04263077746225</v>
      </c>
      <c r="F42" s="80" t="n">
        <v>-1.10632588385398</v>
      </c>
      <c r="G42" s="80" t="n">
        <v>-0.900637938840186</v>
      </c>
      <c r="H42" s="80" t="n">
        <v>-0.700761410873786</v>
      </c>
      <c r="I42" s="80" t="n">
        <v>-0.598263160060928</v>
      </c>
      <c r="J42" s="80" t="n">
        <v>-0.604272132362016</v>
      </c>
      <c r="K42" s="80" t="n">
        <v>-0.960217310779127</v>
      </c>
      <c r="L42" s="80" t="n">
        <v>-0.563937934724463</v>
      </c>
      <c r="M42" s="81" t="n">
        <v>-0.501905585051664</v>
      </c>
      <c r="O42" s="75" t="str">
        <f aca="false">K14</f>
        <v>C042–A006</v>
      </c>
      <c r="P42" s="67"/>
      <c r="Q42" s="60" t="n">
        <f aca="false">AVERAGE(K38:M38)</f>
        <v>-1.12459425717852</v>
      </c>
      <c r="R42" s="60" t="n">
        <f aca="false">Q42-$Q$47</f>
        <v>-0.261162557791766</v>
      </c>
      <c r="S42" s="42" t="n">
        <f aca="false">_xlfn.STDEV.P(K38:M38)</f>
        <v>0.150885833685106</v>
      </c>
      <c r="T42" s="67"/>
      <c r="U42" s="42" t="n">
        <f aca="false">AVERAGE((K38/K25),(L38/L25),(M38/M25))</f>
        <v>-4.68580940491051</v>
      </c>
      <c r="V42" s="60" t="n">
        <f aca="false">-(U42-$U$47)</f>
        <v>1.08817732413236</v>
      </c>
      <c r="W42" s="42" t="n">
        <f aca="false">_xlfn.STDEV.P((K38/K25),(L38/L25),(M38/M25))</f>
        <v>0.628690973687943</v>
      </c>
      <c r="X42" s="67"/>
      <c r="Y42" s="43" t="n">
        <f aca="false">V42/($S$11*$S$12)*1000</f>
        <v>0.491054749157202</v>
      </c>
      <c r="Z42" s="44" t="n">
        <f aca="false">W42/($S$11*$S$12)*1000</f>
        <v>0.283705313036075</v>
      </c>
      <c r="AA42" s="38" t="str">
        <f aca="false">IF(AND(Y42&gt;(Z42*5),Y42&gt;($Y$47/2)),"Hit","")</f>
        <v/>
      </c>
      <c r="AB42" s="39" t="str">
        <f aca="false">IF(AND(Y42&gt;(Z42*3),Y42&gt;($Y$47/2)),"Hit","")</f>
        <v/>
      </c>
    </row>
    <row r="43" customFormat="false" ht="15" hidden="false" customHeight="true" outlineLevel="0" collapsed="false">
      <c r="A43" s="8" t="s">
        <v>61</v>
      </c>
      <c r="B43" s="92" t="n">
        <v>-1.91885417952833</v>
      </c>
      <c r="C43" s="93" t="n">
        <v>-1.87274149071903</v>
      </c>
      <c r="D43" s="93" t="n">
        <v>-1.61201794460223</v>
      </c>
      <c r="E43" s="93" t="n">
        <v>-1.31527349055439</v>
      </c>
      <c r="F43" s="93" t="n">
        <v>-1.63669588838126</v>
      </c>
      <c r="G43" s="93" t="n">
        <v>-1.59300325143022</v>
      </c>
      <c r="H43" s="93" t="n">
        <v>-1.38914269251347</v>
      </c>
      <c r="I43" s="93" t="n">
        <v>-1.78924147014036</v>
      </c>
      <c r="J43" s="93" t="n">
        <v>-1.40093015598633</v>
      </c>
      <c r="K43" s="93" t="n">
        <v>-1.51108367288141</v>
      </c>
      <c r="L43" s="93" t="n">
        <v>-0.741819977775035</v>
      </c>
      <c r="M43" s="94" t="n">
        <v>-0.337391447503825</v>
      </c>
      <c r="O43" s="75" t="str">
        <f aca="false">K15</f>
        <v>C042–A011</v>
      </c>
      <c r="P43" s="41"/>
      <c r="Q43" s="60" t="n">
        <f aca="false">AVERAGE(K39:M39)</f>
        <v>-1.3035848047084</v>
      </c>
      <c r="R43" s="60" t="n">
        <f aca="false">Q43-$Q$47</f>
        <v>-0.440153105321645</v>
      </c>
      <c r="S43" s="42" t="n">
        <f aca="false">_xlfn.STDEV.P(K39:M39)</f>
        <v>0.402263040295489</v>
      </c>
      <c r="T43" s="95"/>
      <c r="U43" s="42" t="n">
        <f aca="false">AVERAGE((K39/K26),(L39/L26),(M39/M26))</f>
        <v>-5.43160335295168</v>
      </c>
      <c r="V43" s="60" t="n">
        <f aca="false">-(U43-$U$47)</f>
        <v>1.83397127217352</v>
      </c>
      <c r="W43" s="42" t="n">
        <f aca="false">_xlfn.STDEV.P((K39/K26),(L39/L26),(M39/M26))</f>
        <v>1.6760960012312</v>
      </c>
      <c r="X43" s="95"/>
      <c r="Y43" s="43" t="n">
        <f aca="false">V43/($S$11*$S$12)*1000</f>
        <v>0.827604364699244</v>
      </c>
      <c r="Z43" s="44" t="n">
        <f aca="false">W43/($S$11*$S$12)*1000</f>
        <v>0.756361011385922</v>
      </c>
      <c r="AA43" s="38" t="str">
        <f aca="false">IF(AND(Y43&gt;(Z43*5),Y43&gt;($Y$47/2)),"Hit","")</f>
        <v/>
      </c>
      <c r="AB43" s="39" t="str">
        <f aca="false">IF(AND(Y43&gt;(Z43*3),Y43&gt;($Y$47/2)),"Hit","")</f>
        <v/>
      </c>
    </row>
    <row r="44" customFormat="false" ht="15" hidden="false" customHeight="true" outlineLevel="0" collapsed="false">
      <c r="O44" s="75" t="str">
        <f aca="false">K16</f>
        <v>C042–A025</v>
      </c>
      <c r="P44" s="59"/>
      <c r="Q44" s="60" t="n">
        <f aca="false">AVERAGE(K40:M40)</f>
        <v>-1.27727703008602</v>
      </c>
      <c r="R44" s="60" t="n">
        <f aca="false">Q44-$Q$47</f>
        <v>-0.413845330699263</v>
      </c>
      <c r="S44" s="42" t="n">
        <f aca="false">_xlfn.STDEV.P(K40:M40)</f>
        <v>0.0574106114515132</v>
      </c>
      <c r="T44" s="96"/>
      <c r="U44" s="42" t="n">
        <f aca="false">AVERAGE((K40/K27),(L40/L27),(M40/M27))</f>
        <v>-5.32198762535842</v>
      </c>
      <c r="V44" s="60" t="n">
        <f aca="false">-(U44-$U$47)</f>
        <v>1.72435554458026</v>
      </c>
      <c r="W44" s="42" t="n">
        <f aca="false">_xlfn.STDEV.P((K40/K27),(L40/L27),(M40/M27))</f>
        <v>0.239210881047972</v>
      </c>
      <c r="X44" s="96"/>
      <c r="Y44" s="43" t="n">
        <f aca="false">V44/($S$11*$S$12)*1000</f>
        <v>0.778138783655354</v>
      </c>
      <c r="Z44" s="44" t="n">
        <f aca="false">W44/($S$11*$S$12)*1000</f>
        <v>0.107947148487352</v>
      </c>
      <c r="AA44" s="38" t="str">
        <f aca="false">IF(AND(Y44&gt;(Z44*5),Y44&gt;($Y$47/2)),"Hit","")</f>
        <v/>
      </c>
      <c r="AB44" s="39" t="str">
        <f aca="false">IF(AND(Y44&gt;(Z44*3),Y44&gt;($Y$47/2)),"Hit","")</f>
        <v/>
      </c>
    </row>
    <row r="45" customFormat="false" ht="15" hidden="false" customHeight="true" outlineLevel="0" collapsed="false">
      <c r="B45" s="97"/>
      <c r="C45" s="98" t="s">
        <v>72</v>
      </c>
      <c r="O45" s="75" t="str">
        <f aca="false">K17</f>
        <v>C042–A030</v>
      </c>
      <c r="P45" s="41"/>
      <c r="Q45" s="60" t="n">
        <f aca="false">AVERAGE(K41:M41)</f>
        <v>-1.08771178883539</v>
      </c>
      <c r="R45" s="60" t="n">
        <f aca="false">Q45-$Q$47</f>
        <v>-0.224280089448634</v>
      </c>
      <c r="S45" s="42" t="n">
        <f aca="false">_xlfn.STDEV.P(K41:M41)</f>
        <v>0.280588032723431</v>
      </c>
      <c r="T45" s="42"/>
      <c r="U45" s="42" t="n">
        <f aca="false">AVERAGE((K41/K28),(L41/L28),(M41/M28))</f>
        <v>-4.5321324534808</v>
      </c>
      <c r="V45" s="60" t="n">
        <f aca="false">-(U45-$U$47)</f>
        <v>0.934500372702643</v>
      </c>
      <c r="W45" s="42" t="n">
        <f aca="false">_xlfn.STDEV.P((K41/K28),(L41/L28),(M41/M28))</f>
        <v>1.1691168030143</v>
      </c>
      <c r="X45" s="42"/>
      <c r="Y45" s="43" t="n">
        <f aca="false">V45/($S$11*$S$12)*1000</f>
        <v>0.421705944360398</v>
      </c>
      <c r="Z45" s="44" t="n">
        <f aca="false">W45/($S$11*$S$12)*1000</f>
        <v>0.527579784753744</v>
      </c>
      <c r="AA45" s="38" t="str">
        <f aca="false">IF(AND(Y45&gt;(Z45*5),Y45&gt;($Y$47/2)),"Hit","")</f>
        <v/>
      </c>
      <c r="AB45" s="39" t="str">
        <f aca="false">IF(AND(Y45&gt;(Z45*3),Y45&gt;($Y$47/2)),"Hit","")</f>
        <v/>
      </c>
    </row>
    <row r="46" customFormat="false" ht="15" hidden="false" customHeight="true" outlineLevel="0" collapsed="false">
      <c r="B46" s="99" t="s">
        <v>73</v>
      </c>
      <c r="C46" s="99" t="s">
        <v>74</v>
      </c>
      <c r="O46" s="73" t="str">
        <f aca="false">K18</f>
        <v>C042–A036</v>
      </c>
      <c r="P46" s="34"/>
      <c r="Q46" s="74" t="n">
        <f aca="false">AVERAGE(K42:M42)</f>
        <v>-0.675353610185085</v>
      </c>
      <c r="R46" s="74" t="n">
        <f aca="false">Q46-$Q$47</f>
        <v>0.188078089201672</v>
      </c>
      <c r="S46" s="35" t="n">
        <f aca="false">_xlfn.STDEV.P(K42:M42)</f>
        <v>0.203014776208665</v>
      </c>
      <c r="T46" s="35"/>
      <c r="U46" s="35" t="n">
        <f aca="false">AVERAGE((K42/K29),(L42/L29),(M42/M29))</f>
        <v>-2.81397337577119</v>
      </c>
      <c r="V46" s="74" t="n">
        <f aca="false">-(U46-$U$47)</f>
        <v>-0.783658705006967</v>
      </c>
      <c r="W46" s="35" t="n">
        <f aca="false">_xlfn.STDEV.P((K42/K29),(L42/L29),(M42/M29))</f>
        <v>0.845894900869436</v>
      </c>
      <c r="X46" s="35"/>
      <c r="Y46" s="36" t="n">
        <f aca="false">V46/($S$11*$S$12)*1000</f>
        <v>-0.353636599732386</v>
      </c>
      <c r="Z46" s="37" t="n">
        <f aca="false">W46/($S$11*$S$12)*1000</f>
        <v>0.381721525663103</v>
      </c>
      <c r="AA46" s="38" t="str">
        <f aca="false">IF(AND(Y46&gt;(Z46*5),Y46&gt;($Y$47/2)),"Hit","")</f>
        <v/>
      </c>
      <c r="AB46" s="39" t="str">
        <f aca="false">IF(AND(Y46&gt;(Z46*3),Y46&gt;($Y$47/2)),"Hit","")</f>
        <v/>
      </c>
    </row>
    <row r="47" customFormat="false" ht="15" hidden="false" customHeight="false" outlineLevel="0" collapsed="false">
      <c r="O47" s="100" t="str">
        <f aca="false">K19</f>
        <v>C042 w/o amine</v>
      </c>
      <c r="P47" s="101"/>
      <c r="Q47" s="102" t="n">
        <f aca="false">AVERAGE(K43:M43)</f>
        <v>-0.863431699386757</v>
      </c>
      <c r="R47" s="103"/>
      <c r="S47" s="103" t="n">
        <f aca="false">_xlfn.STDEV.P(K43:M43)</f>
        <v>0.486813049744952</v>
      </c>
      <c r="T47" s="103"/>
      <c r="U47" s="103" t="n">
        <f aca="false">AVERAGE((K43/K30),(L43/L30),(M43/M30))</f>
        <v>-3.59763208077815</v>
      </c>
      <c r="V47" s="103" t="n">
        <f aca="false">-U47</f>
        <v>3.59763208077815</v>
      </c>
      <c r="W47" s="103" t="n">
        <f aca="false">_xlfn.STDEV.P((K43/K30),(L43/L30),(M43/M30))</f>
        <v>2.02838770727063</v>
      </c>
      <c r="X47" s="103"/>
      <c r="Y47" s="103" t="n">
        <f aca="false">V47/($S$11*$S$12)*1000</f>
        <v>1.62348018085657</v>
      </c>
      <c r="Z47" s="104" t="n">
        <f aca="false">W47/($S$11*$S$12)*1000</f>
        <v>0.915337413028265</v>
      </c>
      <c r="AA47" s="38"/>
    </row>
    <row r="48" customFormat="false" ht="15" hidden="false" customHeight="false" outlineLevel="0" collapsed="false">
      <c r="B48" s="39" t="s">
        <v>75</v>
      </c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105"/>
      <c r="Z48" s="105"/>
    </row>
    <row r="49" customFormat="false" ht="15" hidden="false" customHeight="false" outlineLevel="0" collapsed="false"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105"/>
      <c r="Z49" s="105"/>
    </row>
    <row r="50" customFormat="false" ht="15" hidden="false" customHeight="false" outlineLevel="0" collapsed="false"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105"/>
      <c r="Z50" s="105"/>
    </row>
    <row r="51" customFormat="false" ht="15" hidden="false" customHeight="false" outlineLevel="0" collapsed="false"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105"/>
      <c r="Z51" s="105"/>
    </row>
    <row r="52" customFormat="false" ht="15" hidden="false" customHeight="false" outlineLevel="0" collapsed="false">
      <c r="O52" s="106"/>
      <c r="P52" s="34"/>
      <c r="Q52" s="35"/>
      <c r="R52" s="35"/>
      <c r="S52" s="35"/>
      <c r="T52" s="35"/>
      <c r="U52" s="35"/>
      <c r="V52" s="35"/>
      <c r="W52" s="35"/>
      <c r="X52" s="35"/>
      <c r="Y52" s="107"/>
      <c r="Z52" s="107"/>
    </row>
  </sheetData>
  <mergeCells count="42">
    <mergeCell ref="E3:F3"/>
    <mergeCell ref="E7:F7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  <mergeCell ref="B19:D19"/>
    <mergeCell ref="E19:G19"/>
    <mergeCell ref="H19:J19"/>
    <mergeCell ref="K19:M19"/>
  </mergeCells>
  <conditionalFormatting sqref="E3 E7:E8">
    <cfRule type="expression" priority="2" aboveAverage="0" equalAverage="0" bottom="0" percent="0" rank="0" text="" dxfId="0">
      <formula>LEN(TRIM(E3))=0</formula>
    </cfRule>
  </conditionalFormatting>
  <conditionalFormatting sqref="E4">
    <cfRule type="expression" priority="3" aboveAverage="0" equalAverage="0" bottom="0" percent="0" rank="0" text="" dxfId="1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1" activeCellId="0" sqref="W21"/>
    </sheetView>
  </sheetViews>
  <sheetFormatPr defaultColWidth="9.12890625" defaultRowHeight="15" zeroHeight="false" outlineLevelRow="0" outlineLevelCol="0"/>
  <cols>
    <col collapsed="false" customWidth="true" hidden="false" outlineLevel="0" max="13" min="1" style="0" width="5.71"/>
    <col collapsed="false" customWidth="true" hidden="false" outlineLevel="0" max="15" min="15" style="0" width="15.71"/>
    <col collapsed="false" customWidth="true" hidden="false" outlineLevel="0" max="16" min="16" style="0" width="1.43"/>
    <col collapsed="false" customWidth="true" hidden="false" outlineLevel="0" max="20" min="20" style="0" width="1.43"/>
    <col collapsed="false" customWidth="true" hidden="false" outlineLevel="0" max="24" min="24" style="0" width="1.43"/>
    <col collapsed="false" customWidth="true" hidden="false" outlineLevel="0" max="28" min="27" style="0" width="5.71"/>
  </cols>
  <sheetData>
    <row r="1" customFormat="false" ht="18.7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E3" s="3" t="s">
        <v>2</v>
      </c>
      <c r="F3" s="3"/>
    </row>
    <row r="4" customFormat="false" ht="15" hidden="false" customHeight="false" outlineLevel="0" collapsed="false">
      <c r="A4" s="2" t="s">
        <v>3</v>
      </c>
      <c r="E4" s="4" t="s">
        <v>4</v>
      </c>
    </row>
    <row r="5" customFormat="false" ht="15" hidden="false" customHeight="false" outlineLevel="0" collapsed="false">
      <c r="A5" s="2" t="s">
        <v>5</v>
      </c>
      <c r="E5" s="0" t="s">
        <v>6</v>
      </c>
    </row>
    <row r="6" customFormat="false" ht="15" hidden="false" customHeight="false" outlineLevel="0" collapsed="false">
      <c r="A6" s="2" t="s">
        <v>7</v>
      </c>
      <c r="E6" s="5" t="s">
        <v>8</v>
      </c>
    </row>
    <row r="7" customFormat="false" ht="15" hidden="false" customHeight="false" outlineLevel="0" collapsed="false">
      <c r="A7" s="2" t="s">
        <v>9</v>
      </c>
      <c r="E7" s="0" t="s">
        <v>76</v>
      </c>
    </row>
    <row r="8" customFormat="false" ht="15" hidden="false" customHeight="false" outlineLevel="0" collapsed="false">
      <c r="A8" s="2" t="s">
        <v>11</v>
      </c>
      <c r="E8" s="6" t="n">
        <v>44635</v>
      </c>
      <c r="F8" s="6"/>
    </row>
    <row r="10" customFormat="false" ht="15" hidden="false" customHeight="false" outlineLevel="0" collapsed="false">
      <c r="A10" s="2" t="s">
        <v>12</v>
      </c>
      <c r="O10" s="2" t="s">
        <v>13</v>
      </c>
      <c r="P10" s="7"/>
    </row>
    <row r="11" customFormat="false" ht="15" hidden="false" customHeight="true" outlineLevel="0" collapsed="false">
      <c r="B11" s="8" t="n">
        <v>1</v>
      </c>
      <c r="C11" s="8" t="n">
        <v>2</v>
      </c>
      <c r="D11" s="8" t="n">
        <v>3</v>
      </c>
      <c r="E11" s="8" t="n">
        <v>4</v>
      </c>
      <c r="F11" s="8" t="n">
        <v>5</v>
      </c>
      <c r="G11" s="8" t="n">
        <v>6</v>
      </c>
      <c r="H11" s="8" t="n">
        <v>7</v>
      </c>
      <c r="I11" s="8" t="n">
        <v>8</v>
      </c>
      <c r="J11" s="8" t="n">
        <v>9</v>
      </c>
      <c r="K11" s="8" t="n">
        <v>10</v>
      </c>
      <c r="L11" s="8" t="n">
        <v>11</v>
      </c>
      <c r="M11" s="8" t="n">
        <v>12</v>
      </c>
      <c r="O11" s="9" t="s">
        <v>14</v>
      </c>
      <c r="P11" s="9"/>
      <c r="Q11" s="9"/>
      <c r="R11" s="9"/>
      <c r="S11" s="0" t="n">
        <v>2216</v>
      </c>
    </row>
    <row r="12" customFormat="false" ht="15" hidden="false" customHeight="true" outlineLevel="0" collapsed="false">
      <c r="A12" s="8" t="s">
        <v>15</v>
      </c>
      <c r="B12" s="10" t="s">
        <v>77</v>
      </c>
      <c r="C12" s="10"/>
      <c r="D12" s="10"/>
      <c r="E12" s="11" t="s">
        <v>78</v>
      </c>
      <c r="F12" s="11"/>
      <c r="G12" s="11"/>
      <c r="H12" s="11" t="s">
        <v>79</v>
      </c>
      <c r="I12" s="11"/>
      <c r="J12" s="11"/>
      <c r="K12" s="12" t="s">
        <v>80</v>
      </c>
      <c r="L12" s="12"/>
      <c r="M12" s="12"/>
      <c r="O12" s="13" t="s">
        <v>20</v>
      </c>
      <c r="P12" s="13"/>
      <c r="Q12" s="13"/>
      <c r="R12" s="13"/>
      <c r="S12" s="14" t="n">
        <v>1</v>
      </c>
    </row>
    <row r="13" customFormat="false" ht="15" hidden="false" customHeight="true" outlineLevel="0" collapsed="false">
      <c r="A13" s="8" t="s">
        <v>21</v>
      </c>
      <c r="B13" s="15" t="s">
        <v>81</v>
      </c>
      <c r="C13" s="15"/>
      <c r="D13" s="15"/>
      <c r="E13" s="16" t="s">
        <v>82</v>
      </c>
      <c r="F13" s="16"/>
      <c r="G13" s="16"/>
      <c r="H13" s="16" t="s">
        <v>83</v>
      </c>
      <c r="I13" s="16"/>
      <c r="J13" s="16"/>
      <c r="K13" s="17" t="s">
        <v>84</v>
      </c>
      <c r="L13" s="17"/>
      <c r="M13" s="17"/>
      <c r="O13" s="18"/>
      <c r="P13" s="18"/>
      <c r="Q13" s="18"/>
      <c r="R13" s="18"/>
      <c r="S13" s="19"/>
    </row>
    <row r="14" customFormat="false" ht="15" hidden="false" customHeight="true" outlineLevel="0" collapsed="false">
      <c r="A14" s="8" t="s">
        <v>26</v>
      </c>
      <c r="B14" s="15" t="s">
        <v>85</v>
      </c>
      <c r="C14" s="15"/>
      <c r="D14" s="15"/>
      <c r="E14" s="16" t="s">
        <v>86</v>
      </c>
      <c r="F14" s="16"/>
      <c r="G14" s="16"/>
      <c r="H14" s="16" t="s">
        <v>87</v>
      </c>
      <c r="I14" s="16"/>
      <c r="J14" s="16"/>
      <c r="K14" s="17" t="s">
        <v>88</v>
      </c>
      <c r="L14" s="17"/>
      <c r="M14" s="17"/>
      <c r="O14" s="20" t="s">
        <v>31</v>
      </c>
      <c r="P14" s="21"/>
      <c r="Q14" s="22" t="s">
        <v>32</v>
      </c>
      <c r="R14" s="22"/>
      <c r="S14" s="22"/>
      <c r="T14" s="23"/>
      <c r="U14" s="22" t="s">
        <v>33</v>
      </c>
      <c r="V14" s="22"/>
      <c r="W14" s="22"/>
      <c r="X14" s="23"/>
      <c r="Y14" s="24" t="s">
        <v>34</v>
      </c>
      <c r="Z14" s="24"/>
      <c r="AA14" s="25" t="s">
        <v>35</v>
      </c>
      <c r="AB14" s="25"/>
    </row>
    <row r="15" customFormat="false" ht="15" hidden="false" customHeight="true" outlineLevel="0" collapsed="false">
      <c r="A15" s="8" t="s">
        <v>36</v>
      </c>
      <c r="B15" s="15" t="s">
        <v>89</v>
      </c>
      <c r="C15" s="15"/>
      <c r="D15" s="15"/>
      <c r="E15" s="16" t="s">
        <v>90</v>
      </c>
      <c r="F15" s="16"/>
      <c r="G15" s="16"/>
      <c r="H15" s="16" t="s">
        <v>91</v>
      </c>
      <c r="I15" s="16"/>
      <c r="J15" s="16"/>
      <c r="K15" s="17" t="s">
        <v>92</v>
      </c>
      <c r="L15" s="17"/>
      <c r="M15" s="17"/>
      <c r="O15" s="20"/>
      <c r="P15" s="26"/>
      <c r="Q15" s="27" t="s">
        <v>41</v>
      </c>
      <c r="R15" s="28" t="s">
        <v>42</v>
      </c>
      <c r="S15" s="29" t="s">
        <v>43</v>
      </c>
      <c r="T15" s="30"/>
      <c r="U15" s="27" t="s">
        <v>41</v>
      </c>
      <c r="V15" s="28" t="s">
        <v>42</v>
      </c>
      <c r="W15" s="29" t="s">
        <v>43</v>
      </c>
      <c r="X15" s="30"/>
      <c r="Y15" s="27" t="s">
        <v>41</v>
      </c>
      <c r="Z15" s="31" t="s">
        <v>43</v>
      </c>
      <c r="AA15" s="32" t="s">
        <v>44</v>
      </c>
      <c r="AB15" s="32" t="s">
        <v>45</v>
      </c>
    </row>
    <row r="16" customFormat="false" ht="15" hidden="false" customHeight="true" outlineLevel="0" collapsed="false">
      <c r="A16" s="8" t="s">
        <v>46</v>
      </c>
      <c r="B16" s="15" t="s">
        <v>93</v>
      </c>
      <c r="C16" s="15"/>
      <c r="D16" s="15"/>
      <c r="E16" s="16" t="s">
        <v>94</v>
      </c>
      <c r="F16" s="16"/>
      <c r="G16" s="16"/>
      <c r="H16" s="16" t="s">
        <v>95</v>
      </c>
      <c r="I16" s="16"/>
      <c r="J16" s="16"/>
      <c r="K16" s="17" t="s">
        <v>96</v>
      </c>
      <c r="L16" s="17"/>
      <c r="M16" s="17"/>
      <c r="O16" s="33" t="str">
        <f aca="false">B12</f>
        <v>C093–A001</v>
      </c>
      <c r="P16" s="34"/>
      <c r="Q16" s="35" t="n">
        <f aca="false">AVERAGE(B36:D36)</f>
        <v>-0.644211219492127</v>
      </c>
      <c r="R16" s="35" t="n">
        <f aca="false">Q16-$Q$23</f>
        <v>0.666589839623551</v>
      </c>
      <c r="S16" s="35" t="n">
        <f aca="false">_xlfn.STDEV.P(B36:D36)</f>
        <v>0.099387303238819</v>
      </c>
      <c r="T16" s="35"/>
      <c r="U16" s="35" t="n">
        <f aca="false">AVERAGE((B36/B23),(C36/C23),(D36/D23))</f>
        <v>-2.68421341455053</v>
      </c>
      <c r="V16" s="35" t="n">
        <f aca="false">-(U16-$U$23)</f>
        <v>-2.77745766509813</v>
      </c>
      <c r="W16" s="35" t="n">
        <f aca="false">_xlfn.STDEV.P((B36/B23),(C36/C23),(D36/D23))</f>
        <v>0.414113763495079</v>
      </c>
      <c r="X16" s="35"/>
      <c r="Y16" s="36" t="n">
        <f aca="false">V16/($S$11*$S$12)*1000</f>
        <v>-1.2533653723367</v>
      </c>
      <c r="Z16" s="37" t="n">
        <f aca="false">W16/($S$11*$S$12)*1000</f>
        <v>0.186874442010415</v>
      </c>
      <c r="AA16" s="38" t="str">
        <f aca="false">IF(AND(Y16&gt;(Z16*5),Y16&gt;($Y$23/2)),"Hit","")</f>
        <v/>
      </c>
      <c r="AB16" s="39" t="str">
        <f aca="false">IF(AND(Y16&gt;(Z16*3),Y16&gt;($Y$23/2)),"Hit","")</f>
        <v/>
      </c>
    </row>
    <row r="17" customFormat="false" ht="15" hidden="false" customHeight="true" outlineLevel="0" collapsed="false">
      <c r="A17" s="8" t="s">
        <v>51</v>
      </c>
      <c r="B17" s="15" t="s">
        <v>97</v>
      </c>
      <c r="C17" s="15"/>
      <c r="D17" s="15"/>
      <c r="E17" s="16" t="s">
        <v>98</v>
      </c>
      <c r="F17" s="16"/>
      <c r="G17" s="16"/>
      <c r="H17" s="16" t="s">
        <v>99</v>
      </c>
      <c r="I17" s="16"/>
      <c r="J17" s="16"/>
      <c r="K17" s="17" t="s">
        <v>100</v>
      </c>
      <c r="L17" s="17"/>
      <c r="M17" s="17"/>
      <c r="O17" s="33" t="str">
        <f aca="false">B13</f>
        <v>C093–A002</v>
      </c>
      <c r="P17" s="34"/>
      <c r="Q17" s="35" t="n">
        <f aca="false">AVERAGE(B37:D37)</f>
        <v>-0.242724067443174</v>
      </c>
      <c r="R17" s="35" t="n">
        <f aca="false">Q17-$Q$23</f>
        <v>1.0680769916725</v>
      </c>
      <c r="S17" s="35" t="n">
        <f aca="false">_xlfn.STDEV.P(B37:D37)</f>
        <v>0.395651264434138</v>
      </c>
      <c r="T17" s="35"/>
      <c r="U17" s="35" t="n">
        <f aca="false">AVERAGE((B37/B24),(C37/C24),(D37/D24))</f>
        <v>-1.01135028101323</v>
      </c>
      <c r="V17" s="35" t="n">
        <f aca="false">-(U17-$U$23)</f>
        <v>-4.45032079863543</v>
      </c>
      <c r="W17" s="35" t="n">
        <f aca="false">_xlfn.STDEV.P((B37/B24),(C37/C24),(D37/D24))</f>
        <v>1.64854693514224</v>
      </c>
      <c r="X17" s="35"/>
      <c r="Y17" s="36" t="n">
        <f aca="false">V17/($S$11*$S$12)*1000</f>
        <v>-2.00826750840949</v>
      </c>
      <c r="Z17" s="37" t="n">
        <f aca="false">W17/($S$11*$S$12)*1000</f>
        <v>0.743929122356608</v>
      </c>
      <c r="AA17" s="38" t="str">
        <f aca="false">IF(AND(Y17&gt;(Z17*5),Y17&gt;($Y$23/2)),"Hit","")</f>
        <v/>
      </c>
      <c r="AB17" s="39" t="str">
        <f aca="false">IF(AND(Y17&gt;(Z17*3),Y17&gt;($Y$23/2)),"Hit","")</f>
        <v/>
      </c>
    </row>
    <row r="18" customFormat="false" ht="15" hidden="false" customHeight="true" outlineLevel="0" collapsed="false">
      <c r="A18" s="8" t="s">
        <v>56</v>
      </c>
      <c r="B18" s="15" t="s">
        <v>101</v>
      </c>
      <c r="C18" s="15"/>
      <c r="D18" s="15"/>
      <c r="E18" s="16" t="s">
        <v>102</v>
      </c>
      <c r="F18" s="16"/>
      <c r="G18" s="16"/>
      <c r="H18" s="16" t="s">
        <v>103</v>
      </c>
      <c r="I18" s="16"/>
      <c r="J18" s="16"/>
      <c r="K18" s="17" t="s">
        <v>104</v>
      </c>
      <c r="L18" s="17"/>
      <c r="M18" s="17"/>
      <c r="O18" s="33" t="str">
        <f aca="false">B14</f>
        <v>C093–A006</v>
      </c>
      <c r="P18" s="34"/>
      <c r="Q18" s="35" t="n">
        <f aca="false">AVERAGE(B38:D38)</f>
        <v>-0.303164999794207</v>
      </c>
      <c r="R18" s="35" t="n">
        <f aca="false">Q18-$Q$23</f>
        <v>1.00763605932147</v>
      </c>
      <c r="S18" s="35" t="n">
        <f aca="false">_xlfn.STDEV.P(B38:D38)</f>
        <v>0</v>
      </c>
      <c r="T18" s="35"/>
      <c r="U18" s="35" t="n">
        <f aca="false">AVERAGE((D38/D25))</f>
        <v>-1.26318749914253</v>
      </c>
      <c r="V18" s="35" t="n">
        <f aca="false">-(U18-$U$23)</f>
        <v>-4.19848358050613</v>
      </c>
      <c r="W18" s="35" t="n">
        <f aca="false">_xlfn.STDEV.P((D38/D25))</f>
        <v>0</v>
      </c>
      <c r="X18" s="35"/>
      <c r="Y18" s="36" t="n">
        <f aca="false">V18/($S$11*$S$12)*1000</f>
        <v>-1.89462255438002</v>
      </c>
      <c r="Z18" s="37" t="n">
        <f aca="false">W18/($S$11*$S$12)*1000</f>
        <v>0</v>
      </c>
      <c r="AA18" s="38" t="str">
        <f aca="false">IF(AND(Y18&gt;(Z18*5),Y18&gt;($Y$23/2)),"Hit","")</f>
        <v/>
      </c>
      <c r="AB18" s="39" t="str">
        <f aca="false">IF(AND(Y18&gt;(Z18*3),Y18&gt;($Y$23/2)),"Hit","")</f>
        <v/>
      </c>
    </row>
    <row r="19" customFormat="false" ht="15" hidden="false" customHeight="true" outlineLevel="0" collapsed="false">
      <c r="A19" s="8" t="s">
        <v>61</v>
      </c>
      <c r="B19" s="45" t="s">
        <v>105</v>
      </c>
      <c r="C19" s="45"/>
      <c r="D19" s="45"/>
      <c r="E19" s="46" t="s">
        <v>106</v>
      </c>
      <c r="F19" s="46"/>
      <c r="G19" s="46"/>
      <c r="H19" s="46" t="s">
        <v>107</v>
      </c>
      <c r="I19" s="46"/>
      <c r="J19" s="46"/>
      <c r="K19" s="47" t="s">
        <v>108</v>
      </c>
      <c r="L19" s="47"/>
      <c r="M19" s="47"/>
      <c r="O19" s="33" t="str">
        <f aca="false">B15</f>
        <v>C093–A011</v>
      </c>
      <c r="P19" s="34"/>
      <c r="Q19" s="35" t="n">
        <f aca="false">AVERAGE(B39:D39)</f>
        <v>-1.26912787586945</v>
      </c>
      <c r="R19" s="35" t="n">
        <f aca="false">Q19-$Q$23</f>
        <v>0.0416731832462256</v>
      </c>
      <c r="S19" s="35" t="n">
        <f aca="false">_xlfn.STDEV.P(B39:D39)</f>
        <v>1.15297519871544</v>
      </c>
      <c r="T19" s="35"/>
      <c r="U19" s="35" t="n">
        <f aca="false">AVERAGE((B39/B26),(C39/C26),(D39/D26))</f>
        <v>-5.28803281612272</v>
      </c>
      <c r="V19" s="35" t="n">
        <f aca="false">-(U19-$U$23)</f>
        <v>-0.17363826352594</v>
      </c>
      <c r="W19" s="35" t="n">
        <f aca="false">_xlfn.STDEV.P((B39/B26),(C39/C26),(D39/D26))</f>
        <v>4.80406332798101</v>
      </c>
      <c r="X19" s="35"/>
      <c r="Y19" s="36" t="n">
        <f aca="false">V19/($S$11*$S$12)*1000</f>
        <v>-0.0783566171145939</v>
      </c>
      <c r="Z19" s="37" t="n">
        <f aca="false">W19/($S$11*$S$12)*1000</f>
        <v>2.16789861370984</v>
      </c>
      <c r="AA19" s="38" t="str">
        <f aca="false">IF(AND(Y19&gt;(Z19*5),Y19&gt;($Y$23/2)),"Hit","")</f>
        <v/>
      </c>
      <c r="AB19" s="39" t="str">
        <f aca="false">IF(AND(Y19&gt;(Z19*3),Y19&gt;($Y$23/2)),"Hit","")</f>
        <v/>
      </c>
    </row>
    <row r="20" customFormat="false" ht="15" hidden="false" customHeight="true" outlineLevel="0" collapsed="false">
      <c r="O20" s="33" t="str">
        <f aca="false">B16</f>
        <v>C093–A025</v>
      </c>
      <c r="P20" s="34"/>
      <c r="Q20" s="35" t="n">
        <f aca="false">AVERAGE(B40:D40)</f>
        <v>-0.262871959501167</v>
      </c>
      <c r="R20" s="35" t="n">
        <f aca="false">Q20-$Q$23</f>
        <v>1.04792909961451</v>
      </c>
      <c r="S20" s="35" t="n">
        <f aca="false">_xlfn.STDEV.P(B40:D40)</f>
        <v>1.17314071696094</v>
      </c>
      <c r="T20" s="35"/>
      <c r="U20" s="35" t="n">
        <f aca="false">AVERAGE((B40/B27),(C40/C27))</f>
        <v>-1.09529983125486</v>
      </c>
      <c r="V20" s="35" t="n">
        <f aca="false">-(U20-$U$23)</f>
        <v>-4.36637124839379</v>
      </c>
      <c r="W20" s="35" t="n">
        <f aca="false">_xlfn.STDEV.P((B40/B27),(C40/C27))</f>
        <v>4.8880863206706</v>
      </c>
      <c r="X20" s="35"/>
      <c r="Y20" s="36" t="n">
        <f aca="false">V20/($S$11*$S$12)*1000</f>
        <v>-1.97038413736182</v>
      </c>
      <c r="Z20" s="37" t="n">
        <f aca="false">W20/($S$11*$S$12)*1000</f>
        <v>2.20581512665641</v>
      </c>
      <c r="AA20" s="38" t="str">
        <f aca="false">IF(AND(Y20&gt;(Z20*5),Y20&gt;($Y$23/2)),"Hit","")</f>
        <v/>
      </c>
      <c r="AB20" s="39" t="str">
        <f aca="false">IF(AND(Y20&gt;(Z20*3),Y20&gt;($Y$23/2)),"Hit","")</f>
        <v/>
      </c>
    </row>
    <row r="21" customFormat="false" ht="15" hidden="false" customHeight="true" outlineLevel="0" collapsed="false">
      <c r="A21" s="2" t="s">
        <v>66</v>
      </c>
      <c r="E21" s="48" t="s">
        <v>67</v>
      </c>
      <c r="O21" s="33" t="str">
        <f aca="false">B17</f>
        <v>C093–A030</v>
      </c>
      <c r="P21" s="34"/>
      <c r="Q21" s="35" t="n">
        <f aca="false">AVERAGE(B41:D41)</f>
        <v>-2.11501008354943</v>
      </c>
      <c r="R21" s="35" t="n">
        <f aca="false">Q21-$Q$23</f>
        <v>-0.804209024433751</v>
      </c>
      <c r="S21" s="35" t="n">
        <f aca="false">_xlfn.STDEV.P(B41:D41)</f>
        <v>3.32366294096464</v>
      </c>
      <c r="T21" s="35"/>
      <c r="U21" s="35" t="n">
        <f aca="false">AVERAGE((B41/B28),(C41/C28),(D41/D28))</f>
        <v>-8.81254201478929</v>
      </c>
      <c r="V21" s="35" t="n">
        <f aca="false">-(U21-$U$23)</f>
        <v>3.35087093514063</v>
      </c>
      <c r="W21" s="35" t="n">
        <f aca="false">_xlfn.STDEV.P((B41/B28),(C41/C28),(D41/D28))</f>
        <v>13.8485955873527</v>
      </c>
      <c r="X21" s="35"/>
      <c r="Y21" s="36" t="n">
        <f aca="false">V21/($S$11*$S$12)*1000</f>
        <v>1.51212587325841</v>
      </c>
      <c r="Z21" s="37" t="n">
        <f aca="false">W21/($S$11*$S$12)*1000</f>
        <v>6.24936623978009</v>
      </c>
      <c r="AA21" s="38" t="str">
        <f aca="false">IF(AND(Y21&gt;(Z21*5),Y21&gt;($Y$23/2)),"Hit","")</f>
        <v/>
      </c>
      <c r="AB21" s="39" t="str">
        <f aca="false">IF(AND(Y21&gt;(Z21*3),Y21&gt;($Y$23/2)),"Hit","")</f>
        <v/>
      </c>
    </row>
    <row r="22" customFormat="false" ht="15" hidden="false" customHeight="true" outlineLevel="0" collapsed="false">
      <c r="B22" s="8" t="n">
        <v>1</v>
      </c>
      <c r="C22" s="8" t="n">
        <v>2</v>
      </c>
      <c r="D22" s="8" t="n">
        <v>3</v>
      </c>
      <c r="E22" s="8" t="n">
        <v>4</v>
      </c>
      <c r="F22" s="8" t="n">
        <v>5</v>
      </c>
      <c r="G22" s="8" t="n">
        <v>6</v>
      </c>
      <c r="H22" s="8" t="n">
        <v>7</v>
      </c>
      <c r="I22" s="8" t="n">
        <v>8</v>
      </c>
      <c r="J22" s="8" t="n">
        <v>9</v>
      </c>
      <c r="K22" s="8" t="n">
        <v>10</v>
      </c>
      <c r="L22" s="8" t="n">
        <v>11</v>
      </c>
      <c r="M22" s="8" t="n">
        <v>12</v>
      </c>
      <c r="O22" s="33" t="str">
        <f aca="false">B18</f>
        <v>C093–A036</v>
      </c>
      <c r="P22" s="34"/>
      <c r="Q22" s="35" t="n">
        <f aca="false">AVERAGE(B42:D42)</f>
        <v>-3.0783278165695</v>
      </c>
      <c r="R22" s="35" t="n">
        <f aca="false">Q22-$Q$23</f>
        <v>-1.76752675745382</v>
      </c>
      <c r="S22" s="35" t="n">
        <f aca="false">_xlfn.STDEV.P(B42:D42)</f>
        <v>3.03466920019452</v>
      </c>
      <c r="T22" s="35"/>
      <c r="U22" s="35" t="n">
        <f aca="false">AVERAGE((B42/B29),(C42/C29),(D42/D29))</f>
        <v>-12.8263659023729</v>
      </c>
      <c r="V22" s="35" t="n">
        <f aca="false">-(U22-$U$23)</f>
        <v>7.36469482272426</v>
      </c>
      <c r="W22" s="35" t="n">
        <f aca="false">_xlfn.STDEV.P((B42/B29),(C42/C29),(D42/D29))</f>
        <v>12.6444550008105</v>
      </c>
      <c r="X22" s="35"/>
      <c r="Y22" s="36" t="n">
        <f aca="false">V22/($S$11*$S$12)*1000</f>
        <v>3.32341824130156</v>
      </c>
      <c r="Z22" s="37" t="n">
        <f aca="false">W22/($S$11*$S$12)*1000</f>
        <v>5.70598149856069</v>
      </c>
      <c r="AA22" s="38" t="str">
        <f aca="false">IF(AND(Y22&gt;(Z22*5),Y22&gt;($Y$23/2)),"Hit","")</f>
        <v/>
      </c>
      <c r="AB22" s="39" t="str">
        <f aca="false">IF(AND(Y22&gt;(Z22*3),Y22&gt;($Y$23/2)),"Hit","")</f>
        <v/>
      </c>
    </row>
    <row r="23" customFormat="false" ht="15" hidden="false" customHeight="true" outlineLevel="0" collapsed="false">
      <c r="A23" s="8" t="s">
        <v>15</v>
      </c>
      <c r="B23" s="49" t="n">
        <v>0.24</v>
      </c>
      <c r="C23" s="50" t="n">
        <v>0.24</v>
      </c>
      <c r="D23" s="50" t="n">
        <v>0.24</v>
      </c>
      <c r="E23" s="50" t="n">
        <v>0.24</v>
      </c>
      <c r="F23" s="50" t="n">
        <v>0.24</v>
      </c>
      <c r="G23" s="50" t="n">
        <v>0.24</v>
      </c>
      <c r="H23" s="50" t="n">
        <v>0.24</v>
      </c>
      <c r="I23" s="50" t="n">
        <v>0.24</v>
      </c>
      <c r="J23" s="50" t="n">
        <v>0.24</v>
      </c>
      <c r="K23" s="50" t="n">
        <v>0.24</v>
      </c>
      <c r="L23" s="50" t="n">
        <v>0.24</v>
      </c>
      <c r="M23" s="51" t="n">
        <v>0.24</v>
      </c>
      <c r="O23" s="52" t="str">
        <f aca="false">B19</f>
        <v>C093 w/o amine</v>
      </c>
      <c r="P23" s="53"/>
      <c r="Q23" s="54" t="n">
        <f aca="false">AVERAGE(B43:D43)</f>
        <v>-1.31080105911568</v>
      </c>
      <c r="R23" s="54"/>
      <c r="S23" s="54" t="n">
        <f aca="false">_xlfn.STDEV.P(B43:D43)</f>
        <v>0.317538330721921</v>
      </c>
      <c r="T23" s="54"/>
      <c r="U23" s="54" t="n">
        <f aca="false">AVERAGE((B43/B30),(C43/C30),(D43/D30))</f>
        <v>-5.46167107964866</v>
      </c>
      <c r="V23" s="54" t="n">
        <f aca="false">-U23</f>
        <v>5.46167107964866</v>
      </c>
      <c r="W23" s="54" t="n">
        <f aca="false">_xlfn.STDEV.P((B43/B30),(C43/C30),(D43/D30))</f>
        <v>1.323076378008</v>
      </c>
      <c r="X23" s="54"/>
      <c r="Y23" s="54" t="n">
        <f aca="false">V23/($S$11*$S$12)*1000</f>
        <v>2.46465301428188</v>
      </c>
      <c r="Z23" s="55" t="n">
        <f aca="false">W23/($S$11*$S$12)*1000</f>
        <v>0.597056127259929</v>
      </c>
      <c r="AA23" s="38"/>
    </row>
    <row r="24" customFormat="false" ht="15" hidden="false" customHeight="true" outlineLevel="0" collapsed="false">
      <c r="A24" s="8" t="s">
        <v>21</v>
      </c>
      <c r="B24" s="56" t="n">
        <v>0.24</v>
      </c>
      <c r="C24" s="57" t="n">
        <v>0.24</v>
      </c>
      <c r="D24" s="57" t="n">
        <v>0.24</v>
      </c>
      <c r="E24" s="57" t="n">
        <v>0.24</v>
      </c>
      <c r="F24" s="57" t="n">
        <v>0.24</v>
      </c>
      <c r="G24" s="57" t="n">
        <v>0.24</v>
      </c>
      <c r="H24" s="57" t="n">
        <v>0.24</v>
      </c>
      <c r="I24" s="57" t="n">
        <v>0.24</v>
      </c>
      <c r="J24" s="57" t="n">
        <v>0.24</v>
      </c>
      <c r="K24" s="57" t="n">
        <v>0.24</v>
      </c>
      <c r="L24" s="57" t="n">
        <v>0.24</v>
      </c>
      <c r="M24" s="58" t="n">
        <v>0.24</v>
      </c>
      <c r="O24" s="33" t="str">
        <f aca="false">E12</f>
        <v>C028–A001</v>
      </c>
      <c r="P24" s="26"/>
      <c r="Q24" s="74" t="n">
        <f aca="false">AVERAGE(E36:G36)</f>
        <v>-1.67975470222662</v>
      </c>
      <c r="R24" s="74" t="n">
        <f aca="false">Q24-$Q$31</f>
        <v>-0.245986472952765</v>
      </c>
      <c r="S24" s="35" t="n">
        <f aca="false">_xlfn.STDEV.P(E36:G36)</f>
        <v>0.263448162324575</v>
      </c>
      <c r="T24" s="26"/>
      <c r="U24" s="35" t="n">
        <f aca="false">AVERAGE((E36/E23),(F36/F23))</f>
        <v>-6.99897792594423</v>
      </c>
      <c r="V24" s="74" t="n">
        <f aca="false">-(U24-$U$31)</f>
        <v>1.02494363730319</v>
      </c>
      <c r="W24" s="35" t="n">
        <f aca="false">_xlfn.STDEV.P((E36/E23),(F36/F23))</f>
        <v>1.09770067635239</v>
      </c>
      <c r="X24" s="26"/>
      <c r="Y24" s="36" t="n">
        <f aca="false">V24/($S$11*$S$12)*1000</f>
        <v>0.462519691923821</v>
      </c>
      <c r="Z24" s="37" t="n">
        <f aca="false">W24/($S$11*$S$12)*1000</f>
        <v>0.495352290772741</v>
      </c>
      <c r="AA24" s="38" t="str">
        <f aca="false">IF(AND(Y24&gt;(Z24*5),Y24&gt;($Y$31/2)),"Hit","")</f>
        <v/>
      </c>
      <c r="AB24" s="39" t="str">
        <f aca="false">IF(AND(Y24&gt;(Z24*3),Y24&gt;($Y$31/2)),"Hit","")</f>
        <v/>
      </c>
    </row>
    <row r="25" customFormat="false" ht="15" hidden="false" customHeight="true" outlineLevel="0" collapsed="false">
      <c r="A25" s="8" t="s">
        <v>26</v>
      </c>
      <c r="B25" s="56" t="n">
        <v>0.24</v>
      </c>
      <c r="C25" s="57" t="n">
        <v>0.24</v>
      </c>
      <c r="D25" s="57" t="n">
        <v>0.24</v>
      </c>
      <c r="E25" s="57" t="n">
        <v>0.24</v>
      </c>
      <c r="F25" s="57" t="n">
        <v>0.24</v>
      </c>
      <c r="G25" s="57" t="n">
        <v>0.24</v>
      </c>
      <c r="H25" s="57" t="n">
        <v>0.24</v>
      </c>
      <c r="I25" s="57" t="n">
        <v>0.24</v>
      </c>
      <c r="J25" s="57" t="n">
        <v>0.24</v>
      </c>
      <c r="K25" s="57" t="n">
        <v>0.24</v>
      </c>
      <c r="L25" s="57" t="n">
        <v>0.24</v>
      </c>
      <c r="M25" s="58" t="n">
        <v>0.24</v>
      </c>
      <c r="O25" s="33" t="str">
        <f aca="false">E13</f>
        <v>C028–A002</v>
      </c>
      <c r="P25" s="26"/>
      <c r="Q25" s="74" t="n">
        <f aca="false">AVERAGE(E37:G37)</f>
        <v>-1.54437722078173</v>
      </c>
      <c r="R25" s="74" t="n">
        <f aca="false">Q25-$Q$31</f>
        <v>-0.11060899150788</v>
      </c>
      <c r="S25" s="35" t="n">
        <f aca="false">_xlfn.STDEV.P(E37:G37)</f>
        <v>0.150261405347193</v>
      </c>
      <c r="T25" s="26"/>
      <c r="U25" s="35" t="n">
        <f aca="false">AVERAGE((E37/E24),(F37/F24),(G37/G24))</f>
        <v>-6.43490508659054</v>
      </c>
      <c r="V25" s="74" t="n">
        <f aca="false">-(U25-$U$31)</f>
        <v>0.4608707979495</v>
      </c>
      <c r="W25" s="35" t="n">
        <f aca="false">_xlfn.STDEV.P((E37/E24),(F37/F24),(G37/G24))</f>
        <v>0.626089188946638</v>
      </c>
      <c r="X25" s="26"/>
      <c r="Y25" s="36" t="n">
        <f aca="false">V25/($S$11*$S$12)*1000</f>
        <v>0.207974186800316</v>
      </c>
      <c r="Z25" s="37" t="n">
        <f aca="false">W25/($S$11*$S$12)*1000</f>
        <v>0.282531222448844</v>
      </c>
      <c r="AA25" s="38" t="str">
        <f aca="false">IF(AND(Y25&gt;(Z25*5),Y25&gt;($Y$31/2)),"Hit","")</f>
        <v/>
      </c>
      <c r="AB25" s="39" t="str">
        <f aca="false">IF(AND(Y25&gt;(Z25*3),Y25&gt;($Y$31/2)),"Hit","")</f>
        <v/>
      </c>
    </row>
    <row r="26" customFormat="false" ht="15" hidden="false" customHeight="true" outlineLevel="0" collapsed="false">
      <c r="A26" s="8" t="s">
        <v>36</v>
      </c>
      <c r="B26" s="56" t="n">
        <v>0.24</v>
      </c>
      <c r="C26" s="57" t="n">
        <v>0.24</v>
      </c>
      <c r="D26" s="57" t="n">
        <v>0.24</v>
      </c>
      <c r="E26" s="57" t="n">
        <v>0.24</v>
      </c>
      <c r="F26" s="57" t="n">
        <v>0.24</v>
      </c>
      <c r="G26" s="57" t="n">
        <v>0.24</v>
      </c>
      <c r="H26" s="57" t="n">
        <v>0.24</v>
      </c>
      <c r="I26" s="57" t="n">
        <v>0.24</v>
      </c>
      <c r="J26" s="57" t="n">
        <v>0.24</v>
      </c>
      <c r="K26" s="57" t="n">
        <v>0.24</v>
      </c>
      <c r="L26" s="57" t="n">
        <v>0.24</v>
      </c>
      <c r="M26" s="58" t="n">
        <v>0.24</v>
      </c>
      <c r="O26" s="33" t="str">
        <f aca="false">E14</f>
        <v>C028–A006</v>
      </c>
      <c r="P26" s="26"/>
      <c r="Q26" s="74" t="n">
        <f aca="false">AVERAGE(E38:G38)</f>
        <v>-1.20224444718826</v>
      </c>
      <c r="R26" s="74" t="n">
        <f aca="false">Q26-$Q$31</f>
        <v>0.231523782085587</v>
      </c>
      <c r="S26" s="35" t="n">
        <f aca="false">_xlfn.STDEV.P(E38:G38)</f>
        <v>0.00358550372182072</v>
      </c>
      <c r="T26" s="26"/>
      <c r="U26" s="35" t="n">
        <f aca="false">AVERAGE((E38/E25),(F38/F25),(G38/G25))</f>
        <v>-5.00935186328443</v>
      </c>
      <c r="V26" s="74" t="n">
        <f aca="false">-(U26-$U$31)</f>
        <v>-0.964682425356612</v>
      </c>
      <c r="W26" s="35" t="n">
        <f aca="false">_xlfn.STDEV.P((E38/E25),(F38/F25),(G38/G25))</f>
        <v>0.0149395988409197</v>
      </c>
      <c r="X26" s="26"/>
      <c r="Y26" s="36" t="n">
        <f aca="false">V26/($S$11*$S$12)*1000</f>
        <v>-0.435326004222298</v>
      </c>
      <c r="Z26" s="37" t="n">
        <f aca="false">W26/($S$11*$S$12)*1000</f>
        <v>0.00674169622785184</v>
      </c>
      <c r="AA26" s="38" t="str">
        <f aca="false">IF(AND(Y26&gt;(Z26*5),Y26&gt;($Y$31/2)),"Hit","")</f>
        <v/>
      </c>
      <c r="AB26" s="39" t="str">
        <f aca="false">IF(AND(Y26&gt;(Z26*3),Y26&gt;($Y$31/2)),"Hit","")</f>
        <v/>
      </c>
    </row>
    <row r="27" customFormat="false" ht="15" hidden="false" customHeight="true" outlineLevel="0" collapsed="false">
      <c r="A27" s="8" t="s">
        <v>46</v>
      </c>
      <c r="B27" s="56" t="n">
        <v>0.24</v>
      </c>
      <c r="C27" s="57" t="n">
        <v>0.24</v>
      </c>
      <c r="D27" s="57" t="n">
        <v>0.24</v>
      </c>
      <c r="E27" s="57" t="n">
        <v>0.24</v>
      </c>
      <c r="F27" s="57" t="n">
        <v>0.24</v>
      </c>
      <c r="G27" s="57" t="n">
        <v>0.24</v>
      </c>
      <c r="H27" s="57" t="n">
        <v>0.24</v>
      </c>
      <c r="I27" s="57" t="n">
        <v>0.24</v>
      </c>
      <c r="J27" s="57" t="n">
        <v>0.24</v>
      </c>
      <c r="K27" s="57" t="n">
        <v>0.24</v>
      </c>
      <c r="L27" s="57" t="n">
        <v>0.24</v>
      </c>
      <c r="M27" s="58" t="n">
        <v>0.24</v>
      </c>
      <c r="O27" s="33" t="str">
        <f aca="false">E15</f>
        <v>C028–A011</v>
      </c>
      <c r="P27" s="26"/>
      <c r="Q27" s="74" t="n">
        <f aca="false">AVERAGE(E39:G39)</f>
        <v>-1.59159292642439</v>
      </c>
      <c r="R27" s="74" t="n">
        <f aca="false">Q27-$Q$31</f>
        <v>-0.15782469715054</v>
      </c>
      <c r="S27" s="35" t="n">
        <f aca="false">_xlfn.STDEV.P(E39:G39)</f>
        <v>0.445165709046168</v>
      </c>
      <c r="T27" s="26"/>
      <c r="U27" s="35" t="n">
        <f aca="false">AVERAGE((E39/E26),(F39/F26),(G39/G26))</f>
        <v>-6.63163719343496</v>
      </c>
      <c r="V27" s="74" t="n">
        <f aca="false">-(U27-$U$31)</f>
        <v>0.657602904793917</v>
      </c>
      <c r="W27" s="35" t="n">
        <f aca="false">_xlfn.STDEV.P((E39/E26),(F39/F26),(G39/G26))</f>
        <v>1.8548571210257</v>
      </c>
      <c r="X27" s="26"/>
      <c r="Y27" s="36" t="n">
        <f aca="false">V27/($S$11*$S$12)*1000</f>
        <v>0.296752213354656</v>
      </c>
      <c r="Z27" s="37" t="n">
        <f aca="false">W27/($S$11*$S$12)*1000</f>
        <v>0.837029386744449</v>
      </c>
      <c r="AA27" s="38" t="str">
        <f aca="false">IF(AND(Y27&gt;(Z27*5),Y27&gt;($Y$31/2)),"Hit","")</f>
        <v/>
      </c>
      <c r="AB27" s="39" t="str">
        <f aca="false">IF(AND(Y27&gt;(Z27*3),Y27&gt;($Y$31/2)),"Hit","")</f>
        <v/>
      </c>
    </row>
    <row r="28" customFormat="false" ht="15" hidden="false" customHeight="true" outlineLevel="0" collapsed="false">
      <c r="A28" s="8" t="s">
        <v>51</v>
      </c>
      <c r="B28" s="56" t="n">
        <v>0.24</v>
      </c>
      <c r="C28" s="57" t="n">
        <v>0.24</v>
      </c>
      <c r="D28" s="57" t="n">
        <v>0.24</v>
      </c>
      <c r="E28" s="57" t="n">
        <v>0.24</v>
      </c>
      <c r="F28" s="57" t="n">
        <v>0.24</v>
      </c>
      <c r="G28" s="57" t="n">
        <v>0.24</v>
      </c>
      <c r="H28" s="57" t="n">
        <v>0.24</v>
      </c>
      <c r="I28" s="57" t="n">
        <v>0.24</v>
      </c>
      <c r="J28" s="57" t="n">
        <v>0.24</v>
      </c>
      <c r="K28" s="57" t="n">
        <v>0.24</v>
      </c>
      <c r="L28" s="57" t="n">
        <v>0.24</v>
      </c>
      <c r="M28" s="58" t="n">
        <v>0.24</v>
      </c>
      <c r="O28" s="40" t="str">
        <f aca="false">E16</f>
        <v>C028–A025</v>
      </c>
      <c r="P28" s="59"/>
      <c r="Q28" s="60" t="n">
        <f aca="false">AVERAGE(E40:G40)</f>
        <v>-1.09318297183466</v>
      </c>
      <c r="R28" s="60" t="n">
        <f aca="false">Q28-$Q$31</f>
        <v>0.340585257439193</v>
      </c>
      <c r="S28" s="42" t="n">
        <f aca="false">_xlfn.STDEV.P(E40:G40)</f>
        <v>0.046271615122258</v>
      </c>
      <c r="T28" s="59"/>
      <c r="U28" s="42" t="n">
        <f aca="false">AVERAGE((E40/E27),(F40/F27),(G40/G27))</f>
        <v>-4.55492904931107</v>
      </c>
      <c r="V28" s="60" t="n">
        <f aca="false">-(U28-$U$31)</f>
        <v>-1.41910523932997</v>
      </c>
      <c r="W28" s="42" t="n">
        <f aca="false">_xlfn.STDEV.P((E40/E27),(F40/F27),(G40/G27))</f>
        <v>0.192798396342742</v>
      </c>
      <c r="X28" s="59"/>
      <c r="Y28" s="43" t="n">
        <f aca="false">V28/($S$11*$S$12)*1000</f>
        <v>-0.640390450961179</v>
      </c>
      <c r="Z28" s="44" t="n">
        <f aca="false">W28/($S$11*$S$12)*1000</f>
        <v>0.0870028864362554</v>
      </c>
      <c r="AA28" s="38" t="str">
        <f aca="false">IF(AND(Y28&gt;(Z28*5),Y28&gt;($Y$31/2)),"Hit","")</f>
        <v/>
      </c>
      <c r="AB28" s="39" t="str">
        <f aca="false">IF(AND(Y28&gt;(Z28*3),Y28&gt;($Y$31/2)),"Hit","")</f>
        <v/>
      </c>
    </row>
    <row r="29" customFormat="false" ht="15" hidden="false" customHeight="true" outlineLevel="0" collapsed="false">
      <c r="A29" s="8" t="s">
        <v>56</v>
      </c>
      <c r="B29" s="56" t="n">
        <v>0.24</v>
      </c>
      <c r="C29" s="57" t="n">
        <v>0.24</v>
      </c>
      <c r="D29" s="57" t="n">
        <v>0.24</v>
      </c>
      <c r="E29" s="57" t="n">
        <v>0.24</v>
      </c>
      <c r="F29" s="57" t="n">
        <v>0.24</v>
      </c>
      <c r="G29" s="57" t="n">
        <v>0.24</v>
      </c>
      <c r="H29" s="57" t="n">
        <v>0.24</v>
      </c>
      <c r="I29" s="57" t="n">
        <v>0.24</v>
      </c>
      <c r="J29" s="57" t="n">
        <v>0.24</v>
      </c>
      <c r="K29" s="57" t="n">
        <v>0.24</v>
      </c>
      <c r="L29" s="57" t="n">
        <v>0.24</v>
      </c>
      <c r="M29" s="58" t="n">
        <v>0.24</v>
      </c>
      <c r="O29" s="40" t="str">
        <f aca="false">E17</f>
        <v>C028–A030</v>
      </c>
      <c r="P29" s="63"/>
      <c r="Q29" s="60" t="n">
        <f aca="false">AVERAGE(E41:G41)</f>
        <v>-0.649989710663872</v>
      </c>
      <c r="R29" s="60" t="n">
        <f aca="false">Q29-$Q$31</f>
        <v>0.783778518609978</v>
      </c>
      <c r="S29" s="42" t="n">
        <f aca="false">_xlfn.STDEV.P(E41:G41)</f>
        <v>0.108014696218379</v>
      </c>
      <c r="T29" s="59"/>
      <c r="U29" s="42" t="n">
        <f aca="false">AVERAGE((E41/E28),(F41/F28),(G41/G28))</f>
        <v>-2.70829046109947</v>
      </c>
      <c r="V29" s="60" t="n">
        <f aca="false">-(U29-$U$31)</f>
        <v>-3.26574382754157</v>
      </c>
      <c r="W29" s="42" t="n">
        <f aca="false">_xlfn.STDEV.P((E41/E28),(F41/F28),(G41/G28))</f>
        <v>0.450061234243246</v>
      </c>
      <c r="X29" s="59"/>
      <c r="Y29" s="43" t="n">
        <f aca="false">V29/($S$11*$S$12)*1000</f>
        <v>-1.47371111351154</v>
      </c>
      <c r="Z29" s="44" t="n">
        <f aca="false">W29/($S$11*$S$12)*1000</f>
        <v>0.20309622483901</v>
      </c>
      <c r="AA29" s="38" t="str">
        <f aca="false">IF(AND(Y29&gt;(Z29*5),Y29&gt;($Y$31/2)),"Hit","")</f>
        <v/>
      </c>
      <c r="AB29" s="39" t="str">
        <f aca="false">IF(AND(Y29&gt;(Z29*3),Y29&gt;($Y$31/2)),"Hit","")</f>
        <v/>
      </c>
    </row>
    <row r="30" customFormat="false" ht="15" hidden="false" customHeight="true" outlineLevel="0" collapsed="false">
      <c r="A30" s="8" t="s">
        <v>61</v>
      </c>
      <c r="B30" s="64" t="n">
        <v>0.24</v>
      </c>
      <c r="C30" s="65" t="n">
        <v>0.24</v>
      </c>
      <c r="D30" s="65" t="n">
        <v>0.24</v>
      </c>
      <c r="E30" s="65" t="n">
        <v>0.24</v>
      </c>
      <c r="F30" s="65" t="n">
        <v>0.24</v>
      </c>
      <c r="G30" s="65" t="n">
        <v>0.24</v>
      </c>
      <c r="H30" s="65" t="n">
        <v>0.24</v>
      </c>
      <c r="I30" s="65" t="n">
        <v>0.24</v>
      </c>
      <c r="J30" s="65" t="n">
        <v>0.24</v>
      </c>
      <c r="K30" s="65" t="n">
        <v>0.24</v>
      </c>
      <c r="L30" s="65" t="n">
        <v>0.24</v>
      </c>
      <c r="M30" s="66" t="n">
        <v>0.24</v>
      </c>
      <c r="O30" s="33" t="str">
        <f aca="false">E18</f>
        <v>C028–A036</v>
      </c>
      <c r="P30" s="108"/>
      <c r="Q30" s="74" t="n">
        <f aca="false">AVERAGE(E42:G42)</f>
        <v>-0.610138425868771</v>
      </c>
      <c r="R30" s="74" t="n">
        <f aca="false">Q30-$Q$31</f>
        <v>0.823629803405079</v>
      </c>
      <c r="S30" s="35" t="n">
        <f aca="false">_xlfn.STDEV.P(E42:G42)</f>
        <v>0.278487603070667</v>
      </c>
      <c r="T30" s="108"/>
      <c r="U30" s="35" t="n">
        <f aca="false">AVERAGE((E42/E29),(F42/F29),(G42/G29))</f>
        <v>-2.54224344111988</v>
      </c>
      <c r="V30" s="74" t="n">
        <f aca="false">-(U30-$U$31)</f>
        <v>-3.43179084752116</v>
      </c>
      <c r="W30" s="35" t="n">
        <f aca="false">_xlfn.STDEV.P((E42/E29),(F42/F29),(G42/G29))</f>
        <v>1.16036501279445</v>
      </c>
      <c r="X30" s="108"/>
      <c r="Y30" s="36" t="n">
        <f aca="false">V30/($S$11*$S$12)*1000</f>
        <v>-1.5486420792063</v>
      </c>
      <c r="Z30" s="37" t="n">
        <f aca="false">W30/($S$11*$S$12)*1000</f>
        <v>0.523630420936123</v>
      </c>
      <c r="AA30" s="38" t="str">
        <f aca="false">IF(AND(Y30&gt;(Z30*5),Y30&gt;($Y$31/2)),"Hit","")</f>
        <v/>
      </c>
      <c r="AB30" s="39" t="str">
        <f aca="false">IF(AND(Y30&gt;(Z30*3),Y30&gt;($Y$31/2)),"Hit","")</f>
        <v/>
      </c>
    </row>
    <row r="31" customFormat="false" ht="15" hidden="false" customHeight="true" outlineLevel="0" collapsed="false">
      <c r="O31" s="52" t="str">
        <f aca="false">E19</f>
        <v>C028 w/o amine</v>
      </c>
      <c r="P31" s="53"/>
      <c r="Q31" s="68" t="n">
        <f aca="false">AVERAGE(E43:G43)</f>
        <v>-1.43376822927385</v>
      </c>
      <c r="R31" s="68"/>
      <c r="S31" s="54" t="n">
        <f aca="false">_xlfn.STDEV.P(E43:G43)</f>
        <v>0.170842206974906</v>
      </c>
      <c r="T31" s="69"/>
      <c r="U31" s="54" t="n">
        <f aca="false">AVERAGE((E43/E30),(F43/F30),(G43/G30))</f>
        <v>-5.97403428864104</v>
      </c>
      <c r="V31" s="70" t="n">
        <f aca="false">-U31</f>
        <v>5.97403428864104</v>
      </c>
      <c r="W31" s="54" t="n">
        <f aca="false">_xlfn.STDEV.P((E43/E30),(F43/F30),(G43/G30))</f>
        <v>0.711842529062109</v>
      </c>
      <c r="X31" s="69"/>
      <c r="Y31" s="54" t="n">
        <f aca="false">V31/($S$11*$S$12)*1000</f>
        <v>2.69586384866473</v>
      </c>
      <c r="Z31" s="55" t="n">
        <f aca="false">W31/($S$11*$S$12)*1000</f>
        <v>0.32122857809662</v>
      </c>
      <c r="AA31" s="38"/>
    </row>
    <row r="32" customFormat="false" ht="15" hidden="false" customHeight="true" outlineLevel="0" collapsed="false">
      <c r="B32" s="71"/>
      <c r="C32" s="72" t="s">
        <v>68</v>
      </c>
      <c r="O32" s="73" t="str">
        <f aca="false">H12</f>
        <v>C037–A001</v>
      </c>
      <c r="P32" s="26"/>
      <c r="Q32" s="74" t="n">
        <f aca="false">AVERAGE(H36:J36)</f>
        <v>-1.96761191367932</v>
      </c>
      <c r="R32" s="74" t="n">
        <f aca="false">Q32-$Q$39</f>
        <v>-0.987463472856717</v>
      </c>
      <c r="S32" s="35" t="n">
        <f aca="false">_xlfn.STDEV.P(H36:J36)</f>
        <v>0.644595062649559</v>
      </c>
      <c r="T32" s="30"/>
      <c r="U32" s="35" t="n">
        <f aca="false">AVERAGE((H36/H23),(I36/I23),(J36/J23))</f>
        <v>-8.19838297366385</v>
      </c>
      <c r="V32" s="74" t="n">
        <f aca="false">-(U32-$U$39)</f>
        <v>4.11443113690299</v>
      </c>
      <c r="W32" s="35" t="n">
        <f aca="false">_xlfn.STDEV.P((H36/H23),(I36/I23),(J36/J23))</f>
        <v>2.68581276103983</v>
      </c>
      <c r="X32" s="30"/>
      <c r="Y32" s="36" t="n">
        <f aca="false">V32/($S$11*$S$12)*1000</f>
        <v>1.85669275131001</v>
      </c>
      <c r="Z32" s="37" t="n">
        <f aca="false">W32/($S$11*$S$12)*1000</f>
        <v>1.21200936870028</v>
      </c>
      <c r="AA32" s="38" t="str">
        <f aca="false">IF(AND(Y32&gt;(Z32*5),Y32&gt;($Y$39/2)),"Hit","")</f>
        <v/>
      </c>
      <c r="AB32" s="39" t="str">
        <f aca="false">IF(AND(Y32&gt;(Z32*3),Y32&gt;($Y$39/2)),"Hit","")</f>
        <v/>
      </c>
    </row>
    <row r="33" customFormat="false" ht="15" hidden="false" customHeight="true" outlineLevel="0" collapsed="false">
      <c r="O33" s="73" t="str">
        <f aca="false">H13</f>
        <v>C037–A002</v>
      </c>
      <c r="P33" s="34"/>
      <c r="Q33" s="74" t="n">
        <f aca="false">AVERAGE(H37:J37)</f>
        <v>-1.17226543743397</v>
      </c>
      <c r="R33" s="74" t="n">
        <f aca="false">Q33-$Q$39</f>
        <v>-0.192116996611367</v>
      </c>
      <c r="S33" s="35" t="n">
        <f aca="false">_xlfn.STDEV.P(H37:J37)</f>
        <v>0.0342276720037583</v>
      </c>
      <c r="T33" s="35"/>
      <c r="U33" s="35" t="n">
        <f aca="false">AVERAGE((H37/H24),(I37/I24),(J37/J24))</f>
        <v>-4.88443932264156</v>
      </c>
      <c r="V33" s="74" t="n">
        <f aca="false">-(U33-$U$39)</f>
        <v>0.800487485880696</v>
      </c>
      <c r="W33" s="35" t="n">
        <f aca="false">_xlfn.STDEV.P((H37/H24),(I37/I24),(J37/J24))</f>
        <v>0.14261530001566</v>
      </c>
      <c r="X33" s="35"/>
      <c r="Y33" s="36" t="n">
        <f aca="false">V33/($S$11*$S$12)*1000</f>
        <v>0.361230814928112</v>
      </c>
      <c r="Z33" s="37" t="n">
        <f aca="false">W33/($S$11*$S$12)*1000</f>
        <v>0.0643570848446118</v>
      </c>
      <c r="AA33" s="38" t="str">
        <f aca="false">IF(AND(Y33&gt;(Z33*5),Y33&gt;($Y$39/2)),"Hit","")</f>
        <v/>
      </c>
      <c r="AB33" s="39" t="str">
        <f aca="false">IF(AND(Y33&gt;(Z33*3),Y33&gt;($Y$39/2)),"Hit","")</f>
        <v/>
      </c>
    </row>
    <row r="34" customFormat="false" ht="15" hidden="false" customHeight="true" outlineLevel="0" collapsed="false">
      <c r="A34" s="2" t="s">
        <v>69</v>
      </c>
      <c r="E34" s="48" t="s">
        <v>70</v>
      </c>
      <c r="O34" s="73" t="str">
        <f aca="false">H14</f>
        <v>C037–A006</v>
      </c>
      <c r="P34" s="34"/>
      <c r="Q34" s="74" t="n">
        <f aca="false">AVERAGE(H38:J38)</f>
        <v>-1.31844534990602</v>
      </c>
      <c r="R34" s="74" t="n">
        <f aca="false">Q34-$Q$39</f>
        <v>-0.33829690908341</v>
      </c>
      <c r="S34" s="35" t="n">
        <f aca="false">_xlfn.STDEV.P(H38:J38)</f>
        <v>0.330764793272904</v>
      </c>
      <c r="T34" s="35"/>
      <c r="U34" s="35" t="n">
        <f aca="false">AVERAGE((H38/H25),(I38/I25),(J38/J25))</f>
        <v>-5.49352229127507</v>
      </c>
      <c r="V34" s="74" t="n">
        <f aca="false">-(U34-$U$39)</f>
        <v>1.40957045451421</v>
      </c>
      <c r="W34" s="35" t="n">
        <f aca="false">_xlfn.STDEV.P((H38/H25),(I38/I25),(J38/J25))</f>
        <v>1.3781866386371</v>
      </c>
      <c r="X34" s="35"/>
      <c r="Y34" s="36" t="n">
        <f aca="false">V34/($S$11*$S$12)*1000</f>
        <v>0.636087750232043</v>
      </c>
      <c r="Z34" s="37" t="n">
        <f aca="false">W34/($S$11*$S$12)*1000</f>
        <v>0.621925378446345</v>
      </c>
      <c r="AA34" s="38" t="str">
        <f aca="false">IF(AND(Y34&gt;(Z34*5),Y34&gt;($Y$39/2)),"Hit","")</f>
        <v/>
      </c>
      <c r="AB34" s="39" t="str">
        <f aca="false">IF(AND(Y34&gt;(Z34*3),Y34&gt;($Y$39/2)),"Hit","")</f>
        <v/>
      </c>
    </row>
    <row r="35" customFormat="false" ht="15" hidden="false" customHeight="true" outlineLevel="0" collapsed="false">
      <c r="B35" s="8" t="n">
        <v>1</v>
      </c>
      <c r="C35" s="8" t="n">
        <v>2</v>
      </c>
      <c r="D35" s="8" t="n">
        <v>3</v>
      </c>
      <c r="E35" s="8" t="n">
        <v>4</v>
      </c>
      <c r="F35" s="8" t="n">
        <v>5</v>
      </c>
      <c r="G35" s="8" t="n">
        <v>6</v>
      </c>
      <c r="H35" s="8" t="n">
        <v>7</v>
      </c>
      <c r="I35" s="8" t="n">
        <v>8</v>
      </c>
      <c r="J35" s="8" t="n">
        <v>9</v>
      </c>
      <c r="K35" s="8" t="n">
        <v>10</v>
      </c>
      <c r="L35" s="8" t="n">
        <v>11</v>
      </c>
      <c r="M35" s="8" t="n">
        <v>12</v>
      </c>
      <c r="O35" s="73" t="str">
        <f aca="false">H15</f>
        <v>C037–A011</v>
      </c>
      <c r="P35" s="34"/>
      <c r="Q35" s="74" t="n">
        <f aca="false">AVERAGE(H39:J39)</f>
        <v>-1.11265862726537</v>
      </c>
      <c r="R35" s="74" t="n">
        <f aca="false">Q35-$Q$39</f>
        <v>-0.132510186442764</v>
      </c>
      <c r="S35" s="35" t="n">
        <f aca="false">_xlfn.STDEV.P(H39:J39)</f>
        <v>0.24361157682729</v>
      </c>
      <c r="T35" s="35"/>
      <c r="U35" s="35" t="n">
        <f aca="false">AVERAGE((H39/H26),(I39/I26),(J39/J26))</f>
        <v>-4.63607761360571</v>
      </c>
      <c r="V35" s="74" t="n">
        <f aca="false">-(U35-$U$39)</f>
        <v>0.55212577684485</v>
      </c>
      <c r="W35" s="35" t="n">
        <f aca="false">_xlfn.STDEV.P((H39/H26),(I39/I26),(J39/J26))</f>
        <v>1.01504823678038</v>
      </c>
      <c r="X35" s="35"/>
      <c r="Y35" s="36" t="n">
        <f aca="false">V35/($S$11*$S$12)*1000</f>
        <v>0.249154231428181</v>
      </c>
      <c r="Z35" s="37" t="n">
        <f aca="false">W35/($S$11*$S$12)*1000</f>
        <v>0.458054258474899</v>
      </c>
      <c r="AA35" s="38" t="str">
        <f aca="false">IF(AND(Y35&gt;(Z35*5),Y35&gt;($Y$39/2)),"Hit","")</f>
        <v/>
      </c>
      <c r="AB35" s="39" t="str">
        <f aca="false">IF(AND(Y35&gt;(Z35*3),Y35&gt;($Y$39/2)),"Hit","")</f>
        <v/>
      </c>
    </row>
    <row r="36" customFormat="false" ht="15" hidden="false" customHeight="true" outlineLevel="0" collapsed="false">
      <c r="A36" s="8" t="s">
        <v>15</v>
      </c>
      <c r="B36" s="76" t="n">
        <v>-0.762151705971945</v>
      </c>
      <c r="C36" s="77" t="n">
        <v>-0.651454912129081</v>
      </c>
      <c r="D36" s="77" t="n">
        <v>-0.519027040375355</v>
      </c>
      <c r="E36" s="77" t="n">
        <v>-1.41630653990204</v>
      </c>
      <c r="F36" s="77" t="n">
        <v>-1.94320286455119</v>
      </c>
      <c r="G36" s="109" t="s">
        <v>109</v>
      </c>
      <c r="H36" s="77" t="n">
        <v>-2.87880808330245</v>
      </c>
      <c r="I36" s="77" t="n">
        <v>-1.4886611515825</v>
      </c>
      <c r="J36" s="77" t="n">
        <v>-1.53536650615302</v>
      </c>
      <c r="K36" s="77" t="n">
        <v>-1.01597728114582</v>
      </c>
      <c r="L36" s="77" t="n">
        <v>-1.41541754126024</v>
      </c>
      <c r="M36" s="78" t="n">
        <v>-0.952018767749108</v>
      </c>
      <c r="O36" s="75" t="str">
        <f aca="false">H16</f>
        <v>C037–A025</v>
      </c>
      <c r="P36" s="41"/>
      <c r="Q36" s="60" t="n">
        <f aca="false">AVERAGE(H40:J40)</f>
        <v>-0.59295111879383</v>
      </c>
      <c r="R36" s="60" t="n">
        <f aca="false">Q36-$Q$39</f>
        <v>0.387197322028776</v>
      </c>
      <c r="S36" s="42" t="n">
        <f aca="false">_xlfn.STDEV.P(H40:J40)</f>
        <v>0.172638422551678</v>
      </c>
      <c r="T36" s="42"/>
      <c r="U36" s="42" t="n">
        <f aca="false">AVERAGE((H40/H27),(I40/I27),(J40/J27))</f>
        <v>-2.47062966164096</v>
      </c>
      <c r="V36" s="60" t="n">
        <f aca="false">-(U36-$U$39)</f>
        <v>-1.6133221751199</v>
      </c>
      <c r="W36" s="42" t="n">
        <f aca="false">_xlfn.STDEV.P((H40/H27),(I40/I27),(J40/J27))</f>
        <v>0.71932676063199</v>
      </c>
      <c r="X36" s="42"/>
      <c r="Y36" s="43" t="n">
        <f aca="false">V36/($S$11*$S$12)*1000</f>
        <v>-0.728033472527031</v>
      </c>
      <c r="Z36" s="44" t="n">
        <f aca="false">W36/($S$11*$S$12)*1000</f>
        <v>0.324605938913353</v>
      </c>
      <c r="AA36" s="38" t="str">
        <f aca="false">IF(AND(Y36&gt;(Z36*5),Y36&gt;($Y$39/2)),"Hit","")</f>
        <v/>
      </c>
      <c r="AB36" s="39" t="str">
        <f aca="false">IF(AND(Y36&gt;(Z36*3),Y36&gt;($Y$39/2)),"Hit","")</f>
        <v/>
      </c>
    </row>
    <row r="37" customFormat="false" ht="15" hidden="false" customHeight="true" outlineLevel="0" collapsed="false">
      <c r="A37" s="8" t="s">
        <v>21</v>
      </c>
      <c r="B37" s="79" t="n">
        <v>-0.370366711939749</v>
      </c>
      <c r="C37" s="80" t="n">
        <v>-0.650697616989758</v>
      </c>
      <c r="D37" s="80" t="n">
        <v>0.292892126599985</v>
      </c>
      <c r="E37" s="80" t="n">
        <v>-1.75616742807755</v>
      </c>
      <c r="F37" s="80" t="n">
        <v>-1.45352924229331</v>
      </c>
      <c r="G37" s="80" t="n">
        <v>-1.42343499197433</v>
      </c>
      <c r="H37" s="80" t="n">
        <v>-1.14316993867555</v>
      </c>
      <c r="I37" s="80" t="n">
        <v>-1.22031526525907</v>
      </c>
      <c r="J37" s="80" t="n">
        <v>-1.1533111083673</v>
      </c>
      <c r="K37" s="80" t="n">
        <v>-0.960167921965676</v>
      </c>
      <c r="L37" s="80" t="n">
        <v>-0.810042392064868</v>
      </c>
      <c r="M37" s="81" t="n">
        <v>-0.782401119479776</v>
      </c>
      <c r="O37" s="75" t="str">
        <f aca="false">H17</f>
        <v>C037–A030</v>
      </c>
      <c r="P37" s="41"/>
      <c r="Q37" s="60" t="n">
        <f aca="false">AVERAGE(H41:J41)</f>
        <v>-1.31000535045479</v>
      </c>
      <c r="R37" s="60" t="n">
        <f aca="false">Q37-$Q$39</f>
        <v>-0.329856909632187</v>
      </c>
      <c r="S37" s="42" t="n">
        <f aca="false">_xlfn.STDEV.P(H41:J41)</f>
        <v>0.952209948147162</v>
      </c>
      <c r="T37" s="42"/>
      <c r="U37" s="42" t="n">
        <f aca="false">AVERAGE((H41/H28),(I41/I28),(J41/J28))</f>
        <v>-5.45835562689497</v>
      </c>
      <c r="V37" s="60" t="n">
        <f aca="false">-(U37-$U$39)</f>
        <v>1.37440379013411</v>
      </c>
      <c r="W37" s="42" t="n">
        <f aca="false">_xlfn.STDEV.P((H41/H28),(I41/I28),(J41/J28))</f>
        <v>3.96754145061317</v>
      </c>
      <c r="X37" s="42"/>
      <c r="Y37" s="43" t="n">
        <f aca="false">V37/($S$11*$S$12)*1000</f>
        <v>0.620218316847525</v>
      </c>
      <c r="Z37" s="44" t="n">
        <f aca="false">W37/($S$11*$S$12)*1000</f>
        <v>1.79040679179295</v>
      </c>
      <c r="AA37" s="38" t="str">
        <f aca="false">IF(AND(Y37&gt;(Z37*5),Y37&gt;($Y$39/2)),"Hit","")</f>
        <v/>
      </c>
      <c r="AB37" s="39" t="str">
        <f aca="false">IF(AND(Y37&gt;(Z37*3),Y37&gt;($Y$39/2)),"Hit","")</f>
        <v/>
      </c>
    </row>
    <row r="38" customFormat="false" ht="15" hidden="false" customHeight="true" outlineLevel="0" collapsed="false">
      <c r="A38" s="8" t="s">
        <v>26</v>
      </c>
      <c r="B38" s="110" t="s">
        <v>109</v>
      </c>
      <c r="C38" s="111" t="s">
        <v>109</v>
      </c>
      <c r="D38" s="80" t="n">
        <v>-0.303164999794207</v>
      </c>
      <c r="E38" s="80" t="n">
        <v>-1.20637115693295</v>
      </c>
      <c r="F38" s="80" t="n">
        <v>-1.20273284767667</v>
      </c>
      <c r="G38" s="80" t="n">
        <v>-1.19762933695517</v>
      </c>
      <c r="H38" s="80" t="n">
        <v>-1.52250895172243</v>
      </c>
      <c r="I38" s="80" t="n">
        <v>-1.58093591801456</v>
      </c>
      <c r="J38" s="80" t="n">
        <v>-0.851891179981058</v>
      </c>
      <c r="K38" s="80" t="n">
        <v>-0.951804749557559</v>
      </c>
      <c r="L38" s="80" t="n">
        <v>-0.731036753508667</v>
      </c>
      <c r="M38" s="81" t="n">
        <v>-0.992040169568262</v>
      </c>
      <c r="O38" s="75" t="str">
        <f aca="false">H18</f>
        <v>C037–A036</v>
      </c>
      <c r="P38" s="41"/>
      <c r="Q38" s="60" t="n">
        <f aca="false">AVERAGE(H42:J42)</f>
        <v>-0.4698741957169</v>
      </c>
      <c r="R38" s="60" t="n">
        <f aca="false">Q38-$Q$39</f>
        <v>0.510274245105706</v>
      </c>
      <c r="S38" s="42" t="n">
        <f aca="false">_xlfn.STDEV.P(H42:J42)</f>
        <v>0.212036295882735</v>
      </c>
      <c r="T38" s="42"/>
      <c r="U38" s="42" t="n">
        <f aca="false">AVERAGE((H42/H29),(I42/I29),(J42/J29))</f>
        <v>-1.95780914882042</v>
      </c>
      <c r="V38" s="60" t="n">
        <f aca="false">-(U38-$U$39)</f>
        <v>-2.12614268794044</v>
      </c>
      <c r="W38" s="42" t="n">
        <f aca="false">_xlfn.STDEV.P((H42/H29),(I42/I29),(J42/J29))</f>
        <v>0.883484566178064</v>
      </c>
      <c r="X38" s="42"/>
      <c r="Y38" s="43" t="n">
        <f aca="false">V38/($S$11*$S$12)*1000</f>
        <v>-0.959450671453268</v>
      </c>
      <c r="Z38" s="44" t="n">
        <f aca="false">W38/($S$11*$S$12)*1000</f>
        <v>0.398684371018982</v>
      </c>
      <c r="AA38" s="38" t="str">
        <f aca="false">IF(AND(Y38&gt;(Z38*5),Y38&gt;($Y$39/2)),"Hit","")</f>
        <v/>
      </c>
      <c r="AB38" s="39" t="str">
        <f aca="false">IF(AND(Y38&gt;(Z38*3),Y38&gt;($Y$39/2)),"Hit","")</f>
        <v/>
      </c>
    </row>
    <row r="39" customFormat="false" ht="15" hidden="false" customHeight="true" outlineLevel="0" collapsed="false">
      <c r="A39" s="8" t="s">
        <v>36</v>
      </c>
      <c r="B39" s="79" t="n">
        <v>-0.724188171379195</v>
      </c>
      <c r="C39" s="80" t="n">
        <v>-2.87250277812075</v>
      </c>
      <c r="D39" s="80" t="n">
        <v>-0.210692678108411</v>
      </c>
      <c r="E39" s="80" t="n">
        <v>-1.26199942379718</v>
      </c>
      <c r="F39" s="80" t="n">
        <v>-2.2209161624892</v>
      </c>
      <c r="G39" s="80" t="n">
        <v>-1.29186319298679</v>
      </c>
      <c r="H39" s="80" t="n">
        <v>-0.773626373626371</v>
      </c>
      <c r="I39" s="80" t="n">
        <v>-1.33521010824381</v>
      </c>
      <c r="J39" s="80" t="n">
        <v>-1.22913939992593</v>
      </c>
      <c r="K39" s="80" t="n">
        <v>-0.974885788368948</v>
      </c>
      <c r="L39" s="80" t="n">
        <v>-0.94986212289584</v>
      </c>
      <c r="M39" s="81" t="n">
        <v>-0.946849405276382</v>
      </c>
      <c r="O39" s="85" t="str">
        <f aca="false">H19</f>
        <v>C037 w/o amine</v>
      </c>
      <c r="P39" s="53"/>
      <c r="Q39" s="68" t="n">
        <f aca="false">AVERAGE(H43:J43)</f>
        <v>-0.980148440822606</v>
      </c>
      <c r="R39" s="54"/>
      <c r="S39" s="54" t="n">
        <f aca="false">_xlfn.STDEV.P(H43:J43)</f>
        <v>0.410662718615026</v>
      </c>
      <c r="T39" s="54"/>
      <c r="U39" s="54" t="n">
        <f aca="false">AVERAGE((H43/H30),(I43/I30),(J43/J30))</f>
        <v>-4.08395183676086</v>
      </c>
      <c r="V39" s="54" t="n">
        <f aca="false">-U39</f>
        <v>4.08395183676086</v>
      </c>
      <c r="W39" s="54" t="n">
        <f aca="false">_xlfn.STDEV.P((H43/H30),(I43/I30),(J43/J30))</f>
        <v>1.71109466089594</v>
      </c>
      <c r="X39" s="54"/>
      <c r="Y39" s="54" t="n">
        <f aca="false">V39/($S$11*$S$12)*1000</f>
        <v>1.84293855449497</v>
      </c>
      <c r="Z39" s="55" t="n">
        <f aca="false">W39/($S$11*$S$12)*1000</f>
        <v>0.772154630368205</v>
      </c>
      <c r="AA39" s="38"/>
    </row>
    <row r="40" customFormat="false" ht="15" hidden="false" customHeight="true" outlineLevel="0" collapsed="false">
      <c r="A40" s="8" t="s">
        <v>46</v>
      </c>
      <c r="B40" s="79" t="n">
        <v>-1.43601267646211</v>
      </c>
      <c r="C40" s="80" t="n">
        <v>0.910268757459776</v>
      </c>
      <c r="D40" s="112" t="s">
        <v>109</v>
      </c>
      <c r="E40" s="80" t="n">
        <v>-1.1245009671976</v>
      </c>
      <c r="F40" s="80" t="n">
        <v>-1.1272832036877</v>
      </c>
      <c r="G40" s="80" t="n">
        <v>-1.02776474461867</v>
      </c>
      <c r="H40" s="80" t="n">
        <v>-0.792525826233697</v>
      </c>
      <c r="I40" s="80" t="n">
        <v>-0.61495657900155</v>
      </c>
      <c r="J40" s="80" t="n">
        <v>-0.371370951146243</v>
      </c>
      <c r="K40" s="80" t="n">
        <v>-0.891336378976833</v>
      </c>
      <c r="L40" s="80" t="n">
        <v>-0.861159813968816</v>
      </c>
      <c r="M40" s="81" t="n">
        <v>-0.688101411696924</v>
      </c>
      <c r="O40" s="73" t="str">
        <f aca="false">K12</f>
        <v>C054–A001</v>
      </c>
      <c r="P40" s="34"/>
      <c r="Q40" s="74" t="n">
        <f aca="false">AVERAGE(K36:M36)</f>
        <v>-1.12780453005172</v>
      </c>
      <c r="R40" s="74" t="n">
        <f aca="false">Q40-$Q$47</f>
        <v>-0.050179034448705</v>
      </c>
      <c r="S40" s="35" t="n">
        <f aca="false">_xlfn.STDEV.P(K36:M36)</f>
        <v>0.205042444421153</v>
      </c>
      <c r="T40" s="35"/>
      <c r="U40" s="35" t="n">
        <f aca="false">AVERAGE((K36/K23),(L36/L23),(M36/M23))</f>
        <v>-4.69918554188218</v>
      </c>
      <c r="V40" s="74" t="n">
        <f aca="false">-(U40-$U$47)</f>
        <v>0.209079310202937</v>
      </c>
      <c r="W40" s="35" t="n">
        <f aca="false">_xlfn.STDEV.P((K36/K23),(L36/L23),(M36/M23))</f>
        <v>0.854343518421471</v>
      </c>
      <c r="X40" s="35"/>
      <c r="Y40" s="36" t="n">
        <f aca="false">V40/($S$11*$S$12)*1000</f>
        <v>0.0943498692251521</v>
      </c>
      <c r="Z40" s="37" t="n">
        <f aca="false">W40/($S$11*$S$12)*1000</f>
        <v>0.38553407871005</v>
      </c>
      <c r="AA40" s="38" t="str">
        <f aca="false">IF(AND(Y40&gt;(Z40*5),Y40&gt;($Y$47/2)),"Hit","")</f>
        <v/>
      </c>
      <c r="AB40" s="39" t="str">
        <f aca="false">IF(AND(Y40&gt;(Z40*3),Y40&gt;($Y$47/2)),"Hit","")</f>
        <v/>
      </c>
    </row>
    <row r="41" customFormat="false" ht="15" hidden="false" customHeight="true" outlineLevel="0" collapsed="false">
      <c r="A41" s="8" t="s">
        <v>51</v>
      </c>
      <c r="B41" s="79" t="n">
        <v>-6.79624645017907</v>
      </c>
      <c r="C41" s="80" t="n">
        <v>-0.141301395233979</v>
      </c>
      <c r="D41" s="80" t="n">
        <v>0.592517594764762</v>
      </c>
      <c r="E41" s="80" t="n">
        <v>-0.497658147096361</v>
      </c>
      <c r="F41" s="80" t="n">
        <v>-0.716302424167594</v>
      </c>
      <c r="G41" s="80" t="n">
        <v>-0.736008560727662</v>
      </c>
      <c r="H41" s="80" t="n">
        <v>-0.500901345845175</v>
      </c>
      <c r="I41" s="80" t="n">
        <v>-0.782318804790716</v>
      </c>
      <c r="J41" s="80" t="n">
        <v>-2.64679590072849</v>
      </c>
      <c r="K41" s="80" t="n">
        <v>-0.763386426307785</v>
      </c>
      <c r="L41" s="80" t="n">
        <v>-0.585981808453725</v>
      </c>
      <c r="M41" s="81" t="n">
        <v>-0.588599415565704</v>
      </c>
      <c r="O41" s="73" t="str">
        <f aca="false">K13</f>
        <v>C054–A002</v>
      </c>
      <c r="P41" s="26"/>
      <c r="Q41" s="74" t="n">
        <f aca="false">AVERAGE(K37:M37)</f>
        <v>-0.850870477836773</v>
      </c>
      <c r="R41" s="74" t="n">
        <f aca="false">Q41-$Q$47</f>
        <v>0.226755017766245</v>
      </c>
      <c r="S41" s="35" t="n">
        <f aca="false">_xlfn.STDEV.P(K37:M37)</f>
        <v>0.0781044533829059</v>
      </c>
      <c r="T41" s="26"/>
      <c r="U41" s="35" t="n">
        <f aca="false">AVERAGE((K37/K24),(L37/L24),(M37/M24))</f>
        <v>-3.54529365765322</v>
      </c>
      <c r="V41" s="74" t="n">
        <f aca="false">-(U41-$U$47)</f>
        <v>-0.944812574026019</v>
      </c>
      <c r="W41" s="35" t="n">
        <f aca="false">_xlfn.STDEV.P((K37/K24),(L37/L24),(M37/M24))</f>
        <v>0.325435222428775</v>
      </c>
      <c r="X41" s="26"/>
      <c r="Y41" s="36" t="n">
        <f aca="false">V41/($S$11*$S$12)*1000</f>
        <v>-0.426359464813185</v>
      </c>
      <c r="Z41" s="37" t="n">
        <f aca="false">W41/($S$11*$S$12)*1000</f>
        <v>0.14685704983248</v>
      </c>
      <c r="AA41" s="38" t="str">
        <f aca="false">IF(AND(Y41&gt;(Z41*5),Y41&gt;($Y$47/2)),"Hit","")</f>
        <v/>
      </c>
      <c r="AB41" s="39" t="str">
        <f aca="false">IF(AND(Y41&gt;(Z41*3),Y41&gt;($Y$47/2)),"Hit","")</f>
        <v/>
      </c>
    </row>
    <row r="42" customFormat="false" ht="15" hidden="false" customHeight="true" outlineLevel="0" collapsed="false">
      <c r="A42" s="8" t="s">
        <v>56</v>
      </c>
      <c r="B42" s="79" t="n">
        <v>-6.73246873595783</v>
      </c>
      <c r="C42" s="80" t="n">
        <v>-3.20042803638309</v>
      </c>
      <c r="D42" s="80" t="n">
        <v>0.697913322632418</v>
      </c>
      <c r="E42" s="80" t="n">
        <v>-0.256113923529658</v>
      </c>
      <c r="F42" s="80" t="n">
        <v>-0.936592995019969</v>
      </c>
      <c r="G42" s="80" t="n">
        <v>-0.637708359056685</v>
      </c>
      <c r="H42" s="80" t="n">
        <v>-0.407704654895675</v>
      </c>
      <c r="I42" s="80" t="n">
        <v>-0.246911141293162</v>
      </c>
      <c r="J42" s="80" t="n">
        <v>-0.755006790961863</v>
      </c>
      <c r="K42" s="80" t="n">
        <v>-1.08576367452773</v>
      </c>
      <c r="L42" s="80" t="n">
        <v>-0.292661645470636</v>
      </c>
      <c r="M42" s="81" t="n">
        <v>-0.0218133925999029</v>
      </c>
      <c r="O42" s="73" t="str">
        <f aca="false">K14</f>
        <v>C054–A006</v>
      </c>
      <c r="P42" s="108"/>
      <c r="Q42" s="74" t="n">
        <f aca="false">AVERAGE(K38:M38)</f>
        <v>-0.891627224211496</v>
      </c>
      <c r="R42" s="74" t="n">
        <f aca="false">Q42-$Q$47</f>
        <v>0.185998271391522</v>
      </c>
      <c r="S42" s="35" t="n">
        <f aca="false">_xlfn.STDEV.P(K38:M38)</f>
        <v>0.114736500197268</v>
      </c>
      <c r="T42" s="108"/>
      <c r="U42" s="35" t="n">
        <f aca="false">AVERAGE((K38/K25),(L38/L25),(M38/M25))</f>
        <v>-3.71511343421457</v>
      </c>
      <c r="V42" s="74" t="n">
        <f aca="false">-(U42-$U$47)</f>
        <v>-0.774992797464674</v>
      </c>
      <c r="W42" s="35" t="n">
        <f aca="false">_xlfn.STDEV.P((K38/K25),(L38/L25),(M38/M25))</f>
        <v>0.478068750821951</v>
      </c>
      <c r="X42" s="108"/>
      <c r="Y42" s="36" t="n">
        <f aca="false">V42/($S$11*$S$12)*1000</f>
        <v>-0.349725991635683</v>
      </c>
      <c r="Z42" s="37" t="n">
        <f aca="false">W42/($S$11*$S$12)*1000</f>
        <v>0.215734995858281</v>
      </c>
      <c r="AA42" s="38" t="str">
        <f aca="false">IF(AND(Y42&gt;(Z42*5),Y42&gt;($Y$47/2)),"Hit","")</f>
        <v/>
      </c>
      <c r="AB42" s="39" t="str">
        <f aca="false">IF(AND(Y42&gt;(Z42*3),Y42&gt;($Y$47/2)),"Hit","")</f>
        <v/>
      </c>
    </row>
    <row r="43" customFormat="false" ht="15" hidden="false" customHeight="true" outlineLevel="0" collapsed="false">
      <c r="A43" s="8" t="s">
        <v>61</v>
      </c>
      <c r="B43" s="92" t="n">
        <v>-0.910104128081683</v>
      </c>
      <c r="C43" s="93" t="n">
        <v>-1.33557229287568</v>
      </c>
      <c r="D43" s="93" t="n">
        <v>-1.68672675638967</v>
      </c>
      <c r="E43" s="93" t="n">
        <v>-1.6750709964193</v>
      </c>
      <c r="F43" s="93" t="n">
        <v>-1.3236202000247</v>
      </c>
      <c r="G43" s="93" t="n">
        <v>-1.30261349137755</v>
      </c>
      <c r="H43" s="93" t="n">
        <v>-1.09223360908756</v>
      </c>
      <c r="I43" s="93" t="n">
        <v>-1.41760711198913</v>
      </c>
      <c r="J43" s="93" t="n">
        <v>-0.430604601391129</v>
      </c>
      <c r="K43" s="93" t="n">
        <v>-1.12782648063545</v>
      </c>
      <c r="L43" s="93" t="n">
        <v>-0.861966497921563</v>
      </c>
      <c r="M43" s="94" t="n">
        <v>-1.24308350825204</v>
      </c>
      <c r="O43" s="73" t="str">
        <f aca="false">K15</f>
        <v>C054–A011</v>
      </c>
      <c r="P43" s="34"/>
      <c r="Q43" s="74" t="n">
        <f aca="false">AVERAGE(K39:M39)</f>
        <v>-0.957199105513723</v>
      </c>
      <c r="R43" s="74" t="n">
        <f aca="false">Q43-$Q$47</f>
        <v>0.120426390089294</v>
      </c>
      <c r="S43" s="35" t="n">
        <f aca="false">_xlfn.STDEV.P(K39:M39)</f>
        <v>0.0125667067995722</v>
      </c>
      <c r="T43" s="113"/>
      <c r="U43" s="35" t="n">
        <f aca="false">AVERAGE((K39/K26),(L39/L26),(M39/M26))</f>
        <v>-3.98832960630718</v>
      </c>
      <c r="V43" s="74" t="n">
        <f aca="false">-(U43-$U$47)</f>
        <v>-0.50177662537206</v>
      </c>
      <c r="W43" s="35" t="n">
        <f aca="false">_xlfn.STDEV.P((K39/K26),(L39/L26),(M39/M26))</f>
        <v>0.0523612783315508</v>
      </c>
      <c r="X43" s="113"/>
      <c r="Y43" s="36" t="n">
        <f aca="false">V43/($S$11*$S$12)*1000</f>
        <v>-0.226433495203998</v>
      </c>
      <c r="Z43" s="37" t="n">
        <f aca="false">W43/($S$11*$S$12)*1000</f>
        <v>0.0236287357091836</v>
      </c>
      <c r="AA43" s="38" t="str">
        <f aca="false">IF(AND(Y43&gt;(Z43*5),Y43&gt;($Y$47/2)),"Hit","")</f>
        <v/>
      </c>
      <c r="AB43" s="39" t="str">
        <f aca="false">IF(AND(Y43&gt;(Z43*3),Y43&gt;($Y$47/2)),"Hit","")</f>
        <v/>
      </c>
    </row>
    <row r="44" customFormat="false" ht="15" hidden="false" customHeight="true" outlineLevel="0" collapsed="false">
      <c r="O44" s="75" t="str">
        <f aca="false">K16</f>
        <v>C054–A025</v>
      </c>
      <c r="P44" s="59"/>
      <c r="Q44" s="60" t="n">
        <f aca="false">AVERAGE(K40:M40)</f>
        <v>-0.813532534880858</v>
      </c>
      <c r="R44" s="60" t="n">
        <f aca="false">Q44-$Q$47</f>
        <v>0.26409296072216</v>
      </c>
      <c r="S44" s="42" t="n">
        <f aca="false">_xlfn.STDEV.P(K40:M40)</f>
        <v>0.0895447049106688</v>
      </c>
      <c r="T44" s="96"/>
      <c r="U44" s="42" t="n">
        <f aca="false">AVERAGE((K40/K27),(L40/L27),(M40/M27))</f>
        <v>-3.38971889533691</v>
      </c>
      <c r="V44" s="60" t="n">
        <f aca="false">-(U44-$U$47)</f>
        <v>-1.10038733634233</v>
      </c>
      <c r="W44" s="42" t="n">
        <f aca="false">_xlfn.STDEV.P((K40/K27),(L40/L27),(M40/M27))</f>
        <v>0.373102937127787</v>
      </c>
      <c r="X44" s="96"/>
      <c r="Y44" s="43" t="n">
        <f aca="false">V44/($S$11*$S$12)*1000</f>
        <v>-0.496564682464952</v>
      </c>
      <c r="Z44" s="44" t="n">
        <f aca="false">W44/($S$11*$S$12)*1000</f>
        <v>0.168367751411456</v>
      </c>
      <c r="AA44" s="38" t="str">
        <f aca="false">IF(AND(Y44&gt;(Z44*5),Y44&gt;($Y$47/2)),"Hit","")</f>
        <v/>
      </c>
      <c r="AB44" s="39" t="str">
        <f aca="false">IF(AND(Y44&gt;(Z44*3),Y44&gt;($Y$47/2)),"Hit","")</f>
        <v/>
      </c>
    </row>
    <row r="45" customFormat="false" ht="15" hidden="false" customHeight="true" outlineLevel="0" collapsed="false">
      <c r="B45" s="97"/>
      <c r="C45" s="98" t="s">
        <v>72</v>
      </c>
      <c r="G45" s="114" t="s">
        <v>109</v>
      </c>
      <c r="H45" s="0" t="s">
        <v>110</v>
      </c>
      <c r="O45" s="75" t="str">
        <f aca="false">K17</f>
        <v>C054–A030</v>
      </c>
      <c r="P45" s="41"/>
      <c r="Q45" s="60" t="n">
        <f aca="false">AVERAGE(K41:M41)</f>
        <v>-0.645989216775738</v>
      </c>
      <c r="R45" s="60" t="n">
        <f aca="false">Q45-$Q$47</f>
        <v>0.43163627882728</v>
      </c>
      <c r="S45" s="42" t="n">
        <f aca="false">_xlfn.STDEV.P(K41:M41)</f>
        <v>0.083019241027534</v>
      </c>
      <c r="T45" s="42"/>
      <c r="U45" s="42" t="n">
        <f aca="false">AVERAGE((K41/K28),(L41/L28),(M41/M28))</f>
        <v>-2.69162173656557</v>
      </c>
      <c r="V45" s="60" t="n">
        <f aca="false">-(U45-$U$47)</f>
        <v>-1.79848449511367</v>
      </c>
      <c r="W45" s="42" t="n">
        <f aca="false">_xlfn.STDEV.P((K41/K28),(L41/L28),(M41/M28))</f>
        <v>0.345913504281392</v>
      </c>
      <c r="X45" s="42"/>
      <c r="Y45" s="43" t="n">
        <f aca="false">V45/($S$11*$S$12)*1000</f>
        <v>-0.811590476134326</v>
      </c>
      <c r="Z45" s="44" t="n">
        <f aca="false">W45/($S$11*$S$12)*1000</f>
        <v>0.156098151751531</v>
      </c>
      <c r="AA45" s="38" t="str">
        <f aca="false">IF(AND(Y45&gt;(Z45*5),Y45&gt;($Y$47/2)),"Hit","")</f>
        <v/>
      </c>
      <c r="AB45" s="39" t="str">
        <f aca="false">IF(AND(Y45&gt;(Z45*3),Y45&gt;($Y$47/2)),"Hit","")</f>
        <v/>
      </c>
    </row>
    <row r="46" customFormat="false" ht="15" hidden="false" customHeight="true" outlineLevel="0" collapsed="false">
      <c r="B46" s="99" t="s">
        <v>73</v>
      </c>
      <c r="C46" s="99" t="s">
        <v>74</v>
      </c>
      <c r="O46" s="73" t="str">
        <f aca="false">K18</f>
        <v>C054–A036</v>
      </c>
      <c r="P46" s="34"/>
      <c r="Q46" s="74" t="n">
        <f aca="false">AVERAGE(K42:M42)</f>
        <v>-0.466746237532756</v>
      </c>
      <c r="R46" s="74" t="n">
        <f aca="false">Q46-$Q$47</f>
        <v>0.610879258070262</v>
      </c>
      <c r="S46" s="35" t="n">
        <f aca="false">_xlfn.STDEV.P(K42:M42)</f>
        <v>0.451461799416556</v>
      </c>
      <c r="T46" s="35"/>
      <c r="U46" s="35" t="n">
        <f aca="false">AVERAGE((K42/K29),(L42/L29),(M42/M29))</f>
        <v>-1.94477598971982</v>
      </c>
      <c r="V46" s="74" t="n">
        <f aca="false">-(U46-$U$47)</f>
        <v>-2.54533024195942</v>
      </c>
      <c r="W46" s="35" t="n">
        <f aca="false">_xlfn.STDEV.P((K42/K29),(L42/L29),(M42/M29))</f>
        <v>1.88109083090232</v>
      </c>
      <c r="X46" s="35"/>
      <c r="Y46" s="36" t="n">
        <f aca="false">V46/($S$11*$S$12)*1000</f>
        <v>-1.14861473012609</v>
      </c>
      <c r="Z46" s="37" t="n">
        <f aca="false">W46/($S$11*$S$12)*1000</f>
        <v>0.848867703475774</v>
      </c>
      <c r="AA46" s="38" t="str">
        <f aca="false">IF(AND(Y46&gt;(Z46*5),Y46&gt;($Y$47/2)),"Hit","")</f>
        <v/>
      </c>
      <c r="AB46" s="39" t="str">
        <f aca="false">IF(AND(Y46&gt;(Z46*3),Y46&gt;($Y$47/2)),"Hit","")</f>
        <v/>
      </c>
    </row>
    <row r="47" customFormat="false" ht="15" hidden="false" customHeight="false" outlineLevel="0" collapsed="false">
      <c r="O47" s="100" t="str">
        <f aca="false">K19</f>
        <v>C054 w/o amine</v>
      </c>
      <c r="P47" s="101"/>
      <c r="Q47" s="102" t="n">
        <f aca="false">AVERAGE(K43:M43)</f>
        <v>-1.07762549560302</v>
      </c>
      <c r="R47" s="103"/>
      <c r="S47" s="103" t="n">
        <f aca="false">_xlfn.STDEV.P(K43:M43)</f>
        <v>0.159588320509324</v>
      </c>
      <c r="T47" s="103"/>
      <c r="U47" s="103" t="n">
        <f aca="false">AVERAGE((K43/K30),(L43/L30),(M43/M30))</f>
        <v>-4.49010623167924</v>
      </c>
      <c r="V47" s="103" t="n">
        <f aca="false">-U47</f>
        <v>4.49010623167924</v>
      </c>
      <c r="W47" s="103" t="n">
        <f aca="false">_xlfn.STDEV.P((K43/K30),(L43/L30),(M43/M30))</f>
        <v>0.664951335455517</v>
      </c>
      <c r="X47" s="103"/>
      <c r="Y47" s="103" t="n">
        <f aca="false">V47/($S$11*$S$12)*1000</f>
        <v>2.02622122368197</v>
      </c>
      <c r="Z47" s="104" t="n">
        <f aca="false">W47/($S$11*$S$12)*1000</f>
        <v>0.300068292173067</v>
      </c>
      <c r="AA47" s="38"/>
    </row>
    <row r="48" customFormat="false" ht="15" hidden="false" customHeight="false" outlineLevel="0" collapsed="false">
      <c r="B48" s="39" t="s">
        <v>75</v>
      </c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105"/>
      <c r="Z48" s="105"/>
    </row>
    <row r="49" customFormat="false" ht="15" hidden="false" customHeight="false" outlineLevel="0" collapsed="false"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105"/>
      <c r="Z49" s="105"/>
    </row>
    <row r="50" customFormat="false" ht="15" hidden="false" customHeight="false" outlineLevel="0" collapsed="false"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105"/>
      <c r="Z50" s="105"/>
    </row>
    <row r="51" customFormat="false" ht="15" hidden="false" customHeight="false" outlineLevel="0" collapsed="false"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105"/>
      <c r="Z51" s="105"/>
    </row>
    <row r="52" customFormat="false" ht="15" hidden="false" customHeight="false" outlineLevel="0" collapsed="false">
      <c r="O52" s="106"/>
      <c r="P52" s="34"/>
      <c r="Q52" s="35"/>
      <c r="R52" s="35"/>
      <c r="S52" s="35"/>
      <c r="T52" s="35"/>
      <c r="U52" s="35"/>
      <c r="V52" s="35"/>
      <c r="W52" s="35"/>
      <c r="X52" s="35"/>
      <c r="Y52" s="107"/>
      <c r="Z52" s="107"/>
    </row>
  </sheetData>
  <mergeCells count="41">
    <mergeCell ref="E3:F3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  <mergeCell ref="B19:D19"/>
    <mergeCell ref="E19:G19"/>
    <mergeCell ref="H19:J19"/>
    <mergeCell ref="K19:M19"/>
  </mergeCells>
  <conditionalFormatting sqref="E3">
    <cfRule type="expression" priority="2" aboveAverage="0" equalAverage="0" bottom="0" percent="0" rank="0" text="" dxfId="2">
      <formula>LEN(TRIM(E3))=0</formula>
    </cfRule>
  </conditionalFormatting>
  <conditionalFormatting sqref="E4 E8">
    <cfRule type="expression" priority="3" aboveAverage="0" equalAverage="0" bottom="0" percent="0" rank="0" text="" dxfId="3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dcterms:modified xsi:type="dcterms:W3CDTF">2022-05-02T14:21:19Z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